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iYH/koDGZ97mrL8UnLmbkZ/Nyf6owzgr7thkU9gPvZHtSe1NGZx4+jxmCI4ZNkIsKDLTNzpBTsLJJIxZQPHRyg==" workbookSaltValue="c2vyFFBj3qdHlE5z90Kk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R10" i="21" s="1"/>
  <c r="R13" i="2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F15" i="17"/>
  <c r="AQ15" i="17" s="1"/>
  <c r="M18" i="2"/>
  <c r="BI17" i="11"/>
  <c r="BL11" i="11"/>
  <c r="BM15" i="11"/>
  <c r="BU15" i="17"/>
  <c r="BW17" i="20"/>
  <c r="BW16" i="20"/>
  <c r="BW15" i="20"/>
  <c r="BV10" i="16"/>
  <c r="S11" i="17"/>
  <c r="T13" i="16"/>
  <c r="AZ11" i="11"/>
  <c r="P15" i="17"/>
  <c r="BL15" i="11"/>
  <c r="BJ10" i="11"/>
  <c r="BH11" i="11"/>
  <c r="T11" i="11"/>
  <c r="BH12" i="16"/>
  <c r="T13" i="20"/>
  <c r="L10" i="2"/>
  <c r="L16" i="2"/>
  <c r="V9" i="16"/>
  <c r="BF15" i="13"/>
  <c r="BG15" i="13"/>
  <c r="BA18" i="13"/>
  <c r="BE15" i="13"/>
  <c r="BF16" i="13"/>
  <c r="W20" i="20"/>
  <c r="AV20" i="20"/>
  <c r="AP20" i="20"/>
  <c r="AA20" i="20"/>
  <c r="M20" i="20"/>
  <c r="AK19" i="8" l="1"/>
  <c r="T19" i="8"/>
  <c r="C18" i="7"/>
  <c r="BG15" i="8"/>
  <c r="F13" i="7"/>
  <c r="BG10" i="8"/>
  <c r="H13" i="12"/>
  <c r="BE9" i="8"/>
  <c r="I9" i="7" s="1"/>
  <c r="E12" i="6"/>
  <c r="AO12" i="11"/>
  <c r="K12" i="7"/>
  <c r="AO9" i="11"/>
  <c r="AO17" i="11"/>
  <c r="AM11" i="11"/>
  <c r="AA10" i="16"/>
  <c r="V10" i="16"/>
  <c r="S15" i="17"/>
  <c r="BK10" i="11"/>
  <c r="BM9" i="11"/>
  <c r="BG16" i="11"/>
  <c r="BK16" i="11"/>
  <c r="BL10" i="11"/>
  <c r="BF12" i="11"/>
  <c r="S15" i="16"/>
  <c r="AA15" i="16"/>
  <c r="BU12" i="17"/>
  <c r="BU17" i="17"/>
  <c r="BU9" i="17"/>
  <c r="BV15" i="16"/>
  <c r="BV16" i="16"/>
  <c r="BW9" i="20"/>
  <c r="AP17" i="20"/>
  <c r="BH17" i="11"/>
  <c r="BG9" i="11"/>
  <c r="X12" i="21"/>
  <c r="BH11" i="16"/>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J18" i="11" s="1"/>
  <c r="BL16" i="11"/>
  <c r="L12" i="2"/>
  <c r="U9" i="17"/>
  <c r="U19" i="17" s="1"/>
  <c r="L9" i="2"/>
  <c r="R17" i="14"/>
  <c r="T9" i="11"/>
  <c r="BF11" i="11"/>
  <c r="BL9" i="11"/>
  <c r="BH17" i="16"/>
  <c r="BG10" i="11"/>
  <c r="BM16" i="11"/>
  <c r="P17" i="17"/>
  <c r="BL17" i="11"/>
  <c r="BK12" i="11"/>
  <c r="BF10" i="11"/>
  <c r="BK9" i="11"/>
  <c r="BK15" i="11"/>
  <c r="V11" i="11"/>
  <c r="BI10" i="11"/>
  <c r="Q10" i="21"/>
  <c r="V9" i="11"/>
  <c r="BJ11" i="11"/>
  <c r="X12" i="17"/>
  <c r="S17" i="14"/>
  <c r="V17" i="14" s="1"/>
  <c r="R10" i="14"/>
  <c r="R12" i="14"/>
  <c r="R16" i="14"/>
  <c r="AM12" i="11"/>
  <c r="BG11" i="13"/>
  <c r="S10" i="14"/>
  <c r="V10" i="14" s="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K15" i="12" l="1"/>
  <c r="J12" i="12"/>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<sst xmlns="http://schemas.openxmlformats.org/spreadsheetml/2006/main" count="2088" uniqueCount="915">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</sst>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NRlMLZnbYqTC8Cer2QLY6O+cEYpR6gK+kYGwXbE8JQnKyb11QIcRl1wMNFW8UPgEhoIe5avp213ON4O/hDeew==" saltValue="ZKT0ytsL4G0BNLxkmdE2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22.063047875927175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88</v>
      </c>
      <c r="D10" s="225">
        <f>IF(ISNUMBER(Datos!I10),Datos!I10," - ")</f>
        <v>88</v>
      </c>
      <c r="E10" s="226">
        <f>IF(ISNUMBER(Datos!J10),Datos!J10," - ")</f>
        <v>101</v>
      </c>
      <c r="F10" s="226">
        <f>IF(ISNUMBER(Datos!K10),Datos!K10," - ")</f>
        <v>85</v>
      </c>
      <c r="G10" s="1034" t="str">
        <f>IF(Datos!E10&lt;&gt;"",Datos!E10,Datos!D10)</f>
        <v>37</v>
      </c>
      <c r="H10" s="227">
        <f>IF(ISNUMBER(Datos!L10),Datos!L10," - ")</f>
        <v>104</v>
      </c>
      <c r="I10" s="1044" t="str">
        <f>IF(ISNUMBER(Datos!AS10/Datos!BM10),Datos!AS10/Datos!BM10," - ")</f>
        <v xml:space="preserve"> - </v>
      </c>
      <c r="J10" s="1045">
        <f>IF(ISNUMBER(Datos!BY10/Datos!CN10),Datos!BY10/Datos!CN10," - ")</f>
        <v>0</v>
      </c>
      <c r="K10" s="230">
        <f t="shared" ref="K10:K12" si="1">IF(ISNUMBER((E10-F10)/C10),(E10-F10)/C10," - ")</f>
        <v>0.18181818181818182</v>
      </c>
      <c r="L10" s="1025">
        <f>IF(ISNUMBER(NºAsuntos!I10/NºAsuntos!G10),(NºAsuntos!I10/NºAsuntos!G10)*11," - ")</f>
        <v>13.458823529411767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17.168734491315135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88</v>
      </c>
      <c r="D13" s="1049">
        <f>SUBTOTAL(9,D9:D12)</f>
        <v>88</v>
      </c>
      <c r="E13" s="1050">
        <f>SUBTOTAL(9,E9:E12)</f>
        <v>101</v>
      </c>
      <c r="F13" s="1051">
        <f>SUBTOTAL(9,F9:F12)</f>
        <v>85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1873</v>
      </c>
      <c r="D15" s="225">
        <f>IF(ISNUMBER(IF(D_I="SI",Datos!I15,Datos!I15+Datos!AC15)),IF(D_I="SI",Datos!I15,Datos!I15+Datos!AC15)," - ")</f>
        <v>1833</v>
      </c>
      <c r="E15" s="226">
        <f>IF(ISNUMBER(IF(D_I="SI",Datos!J15,Datos!J15+Datos!AD15)),IF(D_I="SI",Datos!J15,Datos!J15+Datos!AD15)," - ")</f>
        <v>2235</v>
      </c>
      <c r="F15" s="226">
        <f>IF(ISNUMBER(IF(D_I="SI",Datos!K15,Datos!K15+Datos!AE15)),IF(D_I="SI",Datos!K15,Datos!K15+Datos!AE15)," - ")</f>
        <v>2423</v>
      </c>
      <c r="G15" s="1034" t="str">
        <f>IF(Datos!E15&lt;&gt;"",Datos!E15,Datos!D15)</f>
        <v>03</v>
      </c>
      <c r="H15" s="227">
        <f>IF(ISNUMBER(IF(D_I="SI",Datos!L15,Datos!L15+Datos!AF15)),IF(D_I="SI",Datos!L15,Datos!L15+Datos!AF15)," - ")</f>
        <v>1685</v>
      </c>
      <c r="I15" s="1044" t="str">
        <f>IF(ISNUMBER(Datos!AS15/Datos!BM15),Datos!AS15/Datos!BM15," - ")</f>
        <v xml:space="preserve"> - </v>
      </c>
      <c r="J15" s="1045">
        <f>IF(ISNUMBER(Datos!BY15/Datos!CN15),Datos!BY15/Datos!CN15," - ")</f>
        <v>0</v>
      </c>
      <c r="K15" s="230">
        <f t="shared" ref="K15:K17" si="3">IF(ISNUMBER((E15-F15)/C15),(E15-F15)/C15," - ")</f>
        <v>-0.10037373198077949</v>
      </c>
      <c r="L15" s="1025">
        <f>IF(ISNUMBER(NºAsuntos!I15/NºAsuntos!G15),(NºAsuntos!I15/NºAsuntos!G15)*11," - ")</f>
        <v>7.6496079240610815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340</v>
      </c>
      <c r="D17" s="225">
        <f>IF(ISNUMBER(IF(D_I="SI",Datos!I17,Datos!I17+Datos!AC17)),IF(D_I="SI",Datos!I17,Datos!I17+Datos!AC17)," - ")</f>
        <v>340</v>
      </c>
      <c r="E17" s="226">
        <f>IF(ISNUMBER(IF(D_I="SI",Datos!J17,Datos!J17+Datos!AD17)),IF(D_I="SI",Datos!J17,Datos!J17+Datos!AD17)," - ")</f>
        <v>292</v>
      </c>
      <c r="F17" s="226">
        <f>IF(ISNUMBER(IF(D_I="SI",Datos!K17,Datos!K17+Datos!AE17)),IF(D_I="SI",Datos!K17,Datos!K17+Datos!AE17)," - ")</f>
        <v>329</v>
      </c>
      <c r="G17" s="1034" t="str">
        <f>IF(Datos!E17&lt;&gt;"",Datos!E17,Datos!D17)</f>
        <v>37</v>
      </c>
      <c r="H17" s="227">
        <f>IF(ISNUMBER(IF(D_I="SI",Datos!L17,Datos!L17+Datos!AF17)),IF(D_I="SI",Datos!L17,Datos!L17+Datos!AF17)," - ")</f>
        <v>303</v>
      </c>
      <c r="I17" s="1044" t="str">
        <f>IF(ISNUMBER(Datos!AS17/Datos!BM17),Datos!AS17/Datos!BM17," - ")</f>
        <v xml:space="preserve"> - </v>
      </c>
      <c r="J17" s="1045" t="str">
        <f>IF(ISNUMBER((Datos!BY17+Datos!BZ17)/Datos!CN17),(Datos!BY17+Datos!BZ17)/Datos!CN17," - ")</f>
        <v xml:space="preserve"> - </v>
      </c>
      <c r="K17" s="230">
        <f t="shared" si="3"/>
        <v>-0.10882352941176471</v>
      </c>
      <c r="L17" s="1025">
        <f>IF(ISNUMBER(NºAsuntos!I17/NºAsuntos!G17),(NºAsuntos!I17/NºAsuntos!G17)*11," - ")</f>
        <v>10.130699088145898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2213</v>
      </c>
      <c r="D18" s="1049">
        <f>SUBTOTAL(9,D15:D17)</f>
        <v>2173</v>
      </c>
      <c r="E18" s="1050">
        <f>SUBTOTAL(9,E15:E17)</f>
        <v>2527</v>
      </c>
      <c r="F18" s="1050">
        <f>SUBTOTAL(9,F15:F17)</f>
        <v>2752</v>
      </c>
      <c r="G18" s="1052" t="str">
        <f ca="1">INDIRECT(CONCATENATE("G",ROW()-1))</f>
        <v>37</v>
      </c>
      <c r="H18" s="1053">
        <f ca="1">SUMIF(G$14:G17,G18,H$14:H17)</f>
        <v>303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2301</v>
      </c>
      <c r="D19" s="1071">
        <f>SUBTOTAL(9,D9:D18)</f>
        <v>2261</v>
      </c>
      <c r="E19" s="1072">
        <f>SUBTOTAL(9,E9:E18)</f>
        <v>2628</v>
      </c>
      <c r="F19" s="1072">
        <f>SUBTOTAL(9,F9:F18)</f>
        <v>2837</v>
      </c>
      <c r="G19" s="1073"/>
      <c r="H19" s="1074">
        <f ca="1">SUMIF(B9:B18,"TOTAL",H9:H18)</f>
        <v>303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J9QXGaz7P4NoLORry8GRvNSl9NRj3Rqq+zml8uumJU8zzsv5TRvn7RVhf6nkrgEuLp+ftSadXYmmf/HVT86wQ==" saltValue="Qb93PHOh6kSRQQCuUMwsK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MwA6uIVckc9WPIivgCMGIPgW+JAJcTB/6kXwgD+otwu8VAoB5Z+GRRonTOVkKdfoWcm9lmsdFr5kSXRFw+tGg==" saltValue="/ZypFzMH1iGTEL91A2OZ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6939</v>
      </c>
      <c r="J9" s="181">
        <v>1755</v>
      </c>
      <c r="K9" s="181">
        <v>2892</v>
      </c>
      <c r="L9" s="181">
        <v>5827</v>
      </c>
      <c r="M9" s="181">
        <v>931</v>
      </c>
      <c r="N9" s="181">
        <v>1008</v>
      </c>
      <c r="O9" s="181">
        <v>1312</v>
      </c>
      <c r="P9" s="181">
        <v>803</v>
      </c>
      <c r="Q9" s="181">
        <v>434</v>
      </c>
      <c r="R9" s="181">
        <v>8720</v>
      </c>
      <c r="S9" s="181">
        <v>5371</v>
      </c>
      <c r="T9" s="181">
        <v>2175</v>
      </c>
      <c r="U9" s="181">
        <v>2542</v>
      </c>
      <c r="V9" s="181">
        <v>5004</v>
      </c>
      <c r="W9" s="181">
        <v>854</v>
      </c>
      <c r="X9" s="188">
        <v>707</v>
      </c>
      <c r="Y9" s="191">
        <v>85</v>
      </c>
      <c r="Z9" s="181">
        <v>101</v>
      </c>
      <c r="AA9" s="181">
        <v>74</v>
      </c>
      <c r="AB9" s="181">
        <v>122</v>
      </c>
      <c r="AC9" s="181">
        <v>0</v>
      </c>
      <c r="AD9" s="181">
        <v>0</v>
      </c>
      <c r="AE9" s="181">
        <v>0</v>
      </c>
      <c r="AF9" s="188">
        <v>0</v>
      </c>
      <c r="AG9" s="191">
        <v>81</v>
      </c>
      <c r="AH9" s="181">
        <v>77</v>
      </c>
      <c r="AI9" s="181">
        <v>77</v>
      </c>
      <c r="AJ9" s="192">
        <v>81</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5452</v>
      </c>
      <c r="AZ9" s="123">
        <f>IF(ISNUMBER(IF(J_V="SI",T9,T9+AH9)),IF(J_V="SI",T9,T9+AH9)," - ")</f>
        <v>2252</v>
      </c>
      <c r="BA9" s="124">
        <f>IF(ISNUMBER(IF(J_V="SI",U9,U9+AI9)),IF(J_V="SI",U9,U9+AI9)," - ")</f>
        <v>2619</v>
      </c>
      <c r="BB9" s="124">
        <f>IF(ISNUMBER(IF(J_V="SI",V9,V9+AJ9)),IF(J_V="SI",V9,V9+AJ9)," - ")</f>
        <v>5085</v>
      </c>
      <c r="BC9" s="125">
        <f>IF(ISNUMBER(X9),X9," - ")</f>
        <v>707</v>
      </c>
      <c r="BD9" s="126">
        <f>IF(ISNUMBER(BA9/AZ9),BA9/AZ9," - ")</f>
        <v>1.1629662522202486</v>
      </c>
      <c r="BE9" s="127">
        <f>IF(ISNUMBER(BB9/BA9),BB9/BA9, " - ")</f>
        <v>1.9415807560137457</v>
      </c>
      <c r="BF9" s="127">
        <f>IF(ISNUMBER(BC9/BA9),BC9/BA9, " - ")</f>
        <v>0.26995036273386791</v>
      </c>
      <c r="BG9" s="196">
        <f>IF(ISNUMBER((AY9+AZ9)/BA9),(AY9+AZ9)/BA9," - ")</f>
        <v>2.9415807560137459</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88</v>
      </c>
      <c r="J10" s="181">
        <v>101</v>
      </c>
      <c r="K10" s="181">
        <v>85</v>
      </c>
      <c r="L10" s="181">
        <v>104</v>
      </c>
      <c r="M10" s="181">
        <v>23</v>
      </c>
      <c r="N10" s="181">
        <v>58</v>
      </c>
      <c r="O10" s="181">
        <v>13</v>
      </c>
      <c r="P10" s="181">
        <v>10</v>
      </c>
      <c r="Q10" s="181">
        <v>10</v>
      </c>
      <c r="R10" s="181">
        <v>53</v>
      </c>
      <c r="S10" s="181">
        <v>106</v>
      </c>
      <c r="T10" s="181">
        <v>66</v>
      </c>
      <c r="U10" s="181">
        <v>87</v>
      </c>
      <c r="V10" s="181">
        <v>85</v>
      </c>
      <c r="W10" s="181">
        <v>26</v>
      </c>
      <c r="X10" s="188">
        <v>44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106</v>
      </c>
      <c r="AZ10" s="129">
        <f t="shared" si="0"/>
        <v>66</v>
      </c>
      <c r="BA10" s="129">
        <f t="shared" si="0"/>
        <v>87</v>
      </c>
      <c r="BB10" s="129">
        <f t="shared" si="0"/>
        <v>85</v>
      </c>
      <c r="BC10" s="125">
        <f t="shared" si="0"/>
        <v>26</v>
      </c>
      <c r="BD10" s="126">
        <f>IF(ISNUMBER(BA10/AZ10),BA10/AZ10," - ")</f>
        <v>1.3181818181818181</v>
      </c>
      <c r="BE10" s="127">
        <f>IF(ISNUMBER(BB10/BA10),BB10/BA10, " - ")</f>
        <v>0.97701149425287359</v>
      </c>
      <c r="BF10" s="127">
        <f>IF(ISNUMBER(BC10/BA10),BC10/BA10, " - ")</f>
        <v>0.2988505747126437</v>
      </c>
      <c r="BG10" s="196">
        <f>IF(ISNUMBER((AY10+AZ10)/BA10),(AY10+AZ10)/BA10," - ")</f>
        <v>1.9770114942528736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1012</v>
      </c>
      <c r="J11" s="183">
        <v>427</v>
      </c>
      <c r="K11" s="183">
        <v>633</v>
      </c>
      <c r="L11" s="183">
        <v>805</v>
      </c>
      <c r="M11" s="183">
        <v>253</v>
      </c>
      <c r="N11" s="183">
        <v>327</v>
      </c>
      <c r="O11" s="181">
        <v>292</v>
      </c>
      <c r="P11" s="183">
        <v>134</v>
      </c>
      <c r="Q11" s="183">
        <v>45</v>
      </c>
      <c r="R11" s="183">
        <v>1288</v>
      </c>
      <c r="S11" s="183">
        <v>1003</v>
      </c>
      <c r="T11" s="183">
        <v>530</v>
      </c>
      <c r="U11" s="183">
        <v>581</v>
      </c>
      <c r="V11" s="183">
        <v>953</v>
      </c>
      <c r="W11" s="183">
        <v>249</v>
      </c>
      <c r="X11" s="189">
        <v>309</v>
      </c>
      <c r="Y11" s="191">
        <v>479</v>
      </c>
      <c r="Z11" s="181">
        <v>147</v>
      </c>
      <c r="AA11" s="181">
        <v>173</v>
      </c>
      <c r="AB11" s="181">
        <v>453</v>
      </c>
      <c r="AC11" s="183">
        <v>0</v>
      </c>
      <c r="AD11" s="183">
        <v>0</v>
      </c>
      <c r="AE11" s="183">
        <v>0</v>
      </c>
      <c r="AF11" s="189">
        <v>0</v>
      </c>
      <c r="AG11" s="202">
        <v>427</v>
      </c>
      <c r="AH11" s="183">
        <v>233</v>
      </c>
      <c r="AI11" s="183">
        <v>162</v>
      </c>
      <c r="AJ11" s="203">
        <v>498</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1430</v>
      </c>
      <c r="AZ11" s="127">
        <f t="shared" si="1"/>
        <v>763</v>
      </c>
      <c r="BA11" s="127">
        <f t="shared" si="1"/>
        <v>743</v>
      </c>
      <c r="BB11" s="127">
        <f t="shared" si="1"/>
        <v>1451</v>
      </c>
      <c r="BC11" s="125">
        <f>IF(ISNUMBER(X11),X11," - ")</f>
        <v>309</v>
      </c>
      <c r="BD11" s="126">
        <f t="shared" ref="BD11:BD12" si="2">IF(ISNUMBER(BA11/AZ11),BA11/AZ11," - ")</f>
        <v>0.97378768020969853</v>
      </c>
      <c r="BE11" s="127">
        <f t="shared" ref="BE11:BE12" si="3">IF(ISNUMBER(BB11/BA11),BB11/BA11, " - ")</f>
        <v>1.9528936742934051</v>
      </c>
      <c r="BF11" s="127">
        <f t="shared" ref="BF11:BF12" si="4">IF(ISNUMBER(BC11/BA11),BC11/BA11, " - ")</f>
        <v>0.4158815612382234</v>
      </c>
      <c r="BG11" s="196">
        <f t="shared" ref="BG11:BG12" si="5">IF(ISNUMBER((AY11+AZ11)/BA11),(AY11+AZ11)/BA11," - ")</f>
        <v>2.9515477792732168</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8039</v>
      </c>
      <c r="J13" s="184">
        <f t="shared" si="6"/>
        <v>2283</v>
      </c>
      <c r="K13" s="184">
        <f t="shared" si="6"/>
        <v>3610</v>
      </c>
      <c r="L13" s="184">
        <f t="shared" si="6"/>
        <v>6736</v>
      </c>
      <c r="M13" s="184">
        <f t="shared" si="6"/>
        <v>1207</v>
      </c>
      <c r="N13" s="184">
        <f t="shared" si="6"/>
        <v>1393</v>
      </c>
      <c r="O13" s="184">
        <f t="shared" si="6"/>
        <v>1617</v>
      </c>
      <c r="P13" s="184">
        <f t="shared" si="6"/>
        <v>947</v>
      </c>
      <c r="Q13" s="184">
        <f t="shared" si="6"/>
        <v>489</v>
      </c>
      <c r="R13" s="184">
        <f t="shared" si="6"/>
        <v>10061</v>
      </c>
      <c r="S13" s="184">
        <f t="shared" si="6"/>
        <v>6480</v>
      </c>
      <c r="T13" s="184">
        <f t="shared" si="6"/>
        <v>2771</v>
      </c>
      <c r="U13" s="184">
        <f t="shared" si="6"/>
        <v>3210</v>
      </c>
      <c r="V13" s="184">
        <f t="shared" si="6"/>
        <v>6042</v>
      </c>
      <c r="W13" s="184">
        <f t="shared" si="6"/>
        <v>1129</v>
      </c>
      <c r="X13" s="184">
        <f t="shared" si="6"/>
        <v>1060</v>
      </c>
      <c r="Y13" s="184">
        <f t="shared" si="6"/>
        <v>564</v>
      </c>
      <c r="Z13" s="184">
        <f t="shared" si="6"/>
        <v>248</v>
      </c>
      <c r="AA13" s="184">
        <f t="shared" si="6"/>
        <v>247</v>
      </c>
      <c r="AB13" s="184">
        <f t="shared" si="6"/>
        <v>575</v>
      </c>
      <c r="AC13" s="184">
        <f t="shared" si="6"/>
        <v>0</v>
      </c>
      <c r="AD13" s="184">
        <f t="shared" si="6"/>
        <v>0</v>
      </c>
      <c r="AE13" s="184">
        <f t="shared" si="6"/>
        <v>0</v>
      </c>
      <c r="AF13" s="184">
        <f>SUBTOTAL(9,AF9:AF12)</f>
        <v>0</v>
      </c>
      <c r="AG13" s="184">
        <f t="shared" ref="AG13:AT13" si="7">SUBTOTAL(9,AG8:AG12)</f>
        <v>508</v>
      </c>
      <c r="AH13" s="184">
        <f t="shared" si="7"/>
        <v>310</v>
      </c>
      <c r="AI13" s="184">
        <f t="shared" si="7"/>
        <v>239</v>
      </c>
      <c r="AJ13" s="184">
        <f t="shared" si="7"/>
        <v>579</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6988</v>
      </c>
      <c r="AZ13" s="184">
        <f>SUBTOTAL(9,AZ8:AZ12)</f>
        <v>3081</v>
      </c>
      <c r="BA13" s="184">
        <f>SUBTOTAL(9,BA8:BA12)</f>
        <v>3449</v>
      </c>
      <c r="BB13" s="184">
        <f>SUBTOTAL(9,BB8:BB12)</f>
        <v>6621</v>
      </c>
      <c r="BC13" s="184">
        <f>SUBTOTAL(9,BC8:BC12)</f>
        <v>1042</v>
      </c>
      <c r="BD13" s="205">
        <f>IF(ISNUMBER(BA13/AZ13),BA13/AZ13," - ")</f>
        <v>1.1194417396949043</v>
      </c>
      <c r="BE13" s="206">
        <f>IF(ISNUMBER(BB13/BA13),BB13/BA13, " - ")</f>
        <v>1.9196868657581907</v>
      </c>
      <c r="BF13" s="206">
        <f>IF(ISNUMBER(BC13/BA13),BC13/BA13, " - ")</f>
        <v>0.3021165555233401</v>
      </c>
      <c r="BG13" s="207">
        <f>IF(ISNUMBER((AY13+AZ13)/BA13),(AY13+AZ13)/BA13," - ")</f>
        <v>2.9193969266454043</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1833</v>
      </c>
      <c r="J15" s="183">
        <v>2235</v>
      </c>
      <c r="K15" s="183">
        <v>2423</v>
      </c>
      <c r="L15" s="183">
        <v>1685</v>
      </c>
      <c r="M15" s="183">
        <v>265</v>
      </c>
      <c r="N15" s="183">
        <v>1398</v>
      </c>
      <c r="O15" s="181">
        <v>70</v>
      </c>
      <c r="P15" s="183">
        <v>125</v>
      </c>
      <c r="Q15" s="183">
        <v>159</v>
      </c>
      <c r="R15" s="183">
        <v>387</v>
      </c>
      <c r="S15" s="183">
        <v>1825</v>
      </c>
      <c r="T15" s="183">
        <v>2662</v>
      </c>
      <c r="U15" s="183">
        <v>2646</v>
      </c>
      <c r="V15" s="183">
        <v>1854</v>
      </c>
      <c r="W15" s="183">
        <v>374</v>
      </c>
      <c r="X15" s="189">
        <v>1619</v>
      </c>
      <c r="Y15" s="202">
        <v>0</v>
      </c>
      <c r="Z15" s="183">
        <v>0</v>
      </c>
      <c r="AA15" s="183">
        <v>0</v>
      </c>
      <c r="AB15" s="183">
        <v>0</v>
      </c>
      <c r="AC15" s="183">
        <v>0</v>
      </c>
      <c r="AD15" s="183">
        <v>98</v>
      </c>
      <c r="AE15" s="183">
        <v>98</v>
      </c>
      <c r="AF15" s="189">
        <v>0</v>
      </c>
      <c r="AG15" s="202">
        <v>0</v>
      </c>
      <c r="AH15" s="183">
        <v>0</v>
      </c>
      <c r="AI15" s="183">
        <v>0</v>
      </c>
      <c r="AJ15" s="203">
        <v>0</v>
      </c>
      <c r="AK15" s="182">
        <v>0</v>
      </c>
      <c r="AL15" s="183">
        <v>139</v>
      </c>
      <c r="AM15" s="183">
        <v>139</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1825</v>
      </c>
      <c r="AZ15" s="129">
        <f t="shared" si="9"/>
        <v>2662</v>
      </c>
      <c r="BA15" s="129">
        <f t="shared" si="9"/>
        <v>2646</v>
      </c>
      <c r="BB15" s="129">
        <f t="shared" si="9"/>
        <v>1854</v>
      </c>
      <c r="BC15" s="125">
        <f>IF(ISNUMBER(W15),W15," - ")</f>
        <v>374</v>
      </c>
      <c r="BD15" s="126">
        <f>IF(ISNUMBER(BA15/AZ15),BA15/AZ15," - ")</f>
        <v>0.99398948159278733</v>
      </c>
      <c r="BE15" s="127">
        <f>IF(ISNUMBER(BB15/BA15),BB15/BA15, " - ")</f>
        <v>0.70068027210884354</v>
      </c>
      <c r="BF15" s="127">
        <f>IF(ISNUMBER(BC15/BA15),BC15/BA15, " - ")</f>
        <v>0.14134542705971279</v>
      </c>
      <c r="BG15" s="196">
        <f t="shared" ref="BG15:BG16" si="10">IF(ISNUMBER((AY15+AZ15)/BA15),(AY15+AZ15)/BA15," - ")</f>
        <v>1.6957671957671958</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340</v>
      </c>
      <c r="J17" s="183">
        <v>292</v>
      </c>
      <c r="K17" s="183">
        <v>329</v>
      </c>
      <c r="L17" s="183">
        <v>303</v>
      </c>
      <c r="M17" s="183">
        <v>7</v>
      </c>
      <c r="N17" s="183">
        <v>195</v>
      </c>
      <c r="O17" s="183">
        <v>2</v>
      </c>
      <c r="P17" s="183">
        <v>0</v>
      </c>
      <c r="Q17" s="183">
        <v>2</v>
      </c>
      <c r="R17" s="183">
        <v>0</v>
      </c>
      <c r="S17" s="183">
        <v>314</v>
      </c>
      <c r="T17" s="183">
        <v>263</v>
      </c>
      <c r="U17" s="183">
        <v>334</v>
      </c>
      <c r="V17" s="183">
        <v>244</v>
      </c>
      <c r="W17" s="183">
        <v>18</v>
      </c>
      <c r="X17" s="189">
        <v>160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314</v>
      </c>
      <c r="AZ17" s="129">
        <f t="shared" si="14"/>
        <v>263</v>
      </c>
      <c r="BA17" s="129">
        <f t="shared" si="14"/>
        <v>334</v>
      </c>
      <c r="BB17" s="129">
        <f t="shared" si="14"/>
        <v>244</v>
      </c>
      <c r="BC17" s="125">
        <f>IF(ISNUMBER(W17),W17," - ")</f>
        <v>18</v>
      </c>
      <c r="BD17" s="126">
        <f>IF(ISNUMBER(BA17/AZ17),BA17/AZ17," - ")</f>
        <v>1.2699619771863118</v>
      </c>
      <c r="BE17" s="127">
        <f>IF(ISNUMBER(BB17/BA17),BB17/BA17, " - ")</f>
        <v>0.73053892215568861</v>
      </c>
      <c r="BF17" s="127">
        <f>IF(ISNUMBER(BC17/BA17),BC17/BA17, " - ")</f>
        <v>5.3892215568862277E-2</v>
      </c>
      <c r="BG17" s="196">
        <f>IF(ISNUMBER((AY17+AZ17)/BA17),(AY17+AZ17)/BA17," - ")</f>
        <v>1.7275449101796407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2173</v>
      </c>
      <c r="J18" s="184">
        <f t="shared" si="15"/>
        <v>2527</v>
      </c>
      <c r="K18" s="184">
        <f t="shared" si="15"/>
        <v>2752</v>
      </c>
      <c r="L18" s="184">
        <f t="shared" si="15"/>
        <v>1988</v>
      </c>
      <c r="M18" s="184">
        <f t="shared" si="15"/>
        <v>272</v>
      </c>
      <c r="N18" s="184">
        <f t="shared" si="15"/>
        <v>1593</v>
      </c>
      <c r="O18" s="184">
        <f t="shared" si="15"/>
        <v>72</v>
      </c>
      <c r="P18" s="184">
        <f t="shared" si="15"/>
        <v>125</v>
      </c>
      <c r="Q18" s="184">
        <f t="shared" si="15"/>
        <v>161</v>
      </c>
      <c r="R18" s="184">
        <f t="shared" si="15"/>
        <v>387</v>
      </c>
      <c r="S18" s="184">
        <f t="shared" si="15"/>
        <v>2139</v>
      </c>
      <c r="T18" s="184">
        <f t="shared" si="15"/>
        <v>2925</v>
      </c>
      <c r="U18" s="184">
        <f t="shared" si="15"/>
        <v>2980</v>
      </c>
      <c r="V18" s="184">
        <f t="shared" si="15"/>
        <v>2098</v>
      </c>
      <c r="W18" s="184">
        <f t="shared" si="15"/>
        <v>392</v>
      </c>
      <c r="X18" s="184">
        <f t="shared" si="15"/>
        <v>1779</v>
      </c>
      <c r="Y18" s="184">
        <f t="shared" si="15"/>
        <v>0</v>
      </c>
      <c r="Z18" s="184">
        <f t="shared" si="15"/>
        <v>0</v>
      </c>
      <c r="AA18" s="184">
        <f t="shared" si="15"/>
        <v>0</v>
      </c>
      <c r="AB18" s="184">
        <f t="shared" si="15"/>
        <v>0</v>
      </c>
      <c r="AC18" s="184">
        <f t="shared" si="15"/>
        <v>0</v>
      </c>
      <c r="AD18" s="184">
        <f t="shared" si="15"/>
        <v>98</v>
      </c>
      <c r="AE18" s="184">
        <f t="shared" si="15"/>
        <v>98</v>
      </c>
      <c r="AF18" s="184">
        <f t="shared" si="15"/>
        <v>0</v>
      </c>
      <c r="AG18" s="184">
        <f t="shared" si="15"/>
        <v>0</v>
      </c>
      <c r="AH18" s="184">
        <f t="shared" si="15"/>
        <v>0</v>
      </c>
      <c r="AI18" s="184">
        <f t="shared" si="15"/>
        <v>0</v>
      </c>
      <c r="AJ18" s="184">
        <f t="shared" si="15"/>
        <v>0</v>
      </c>
      <c r="AK18" s="184">
        <f t="shared" si="15"/>
        <v>0</v>
      </c>
      <c r="AL18" s="184">
        <f t="shared" si="15"/>
        <v>139</v>
      </c>
      <c r="AM18" s="184">
        <f t="shared" si="15"/>
        <v>139</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2139</v>
      </c>
      <c r="AZ18" s="184">
        <f>SUBTOTAL(9,AZ14:AZ17)</f>
        <v>2925</v>
      </c>
      <c r="BA18" s="184">
        <f>SUBTOTAL(9,BA14:BA17)</f>
        <v>2980</v>
      </c>
      <c r="BB18" s="184">
        <f>SUBTOTAL(9,BB14:BB17)</f>
        <v>2098</v>
      </c>
      <c r="BC18" s="184">
        <f>SUBTOTAL(9,BC14:BC17)</f>
        <v>392</v>
      </c>
      <c r="BD18" s="205">
        <f>IF(ISNUMBER(BA18/AZ18),BA18/AZ18," - ")</f>
        <v>1.0188034188034187</v>
      </c>
      <c r="BE18" s="206">
        <f>IF(ISNUMBER(BB18/BA18),BB18/BA18, " - ")</f>
        <v>0.70402684563758389</v>
      </c>
      <c r="BF18" s="206">
        <f>IF(ISNUMBER(BC18/BA18),BC18/BA18, " - ")</f>
        <v>0.13154362416107382</v>
      </c>
      <c r="BG18" s="207">
        <f>IF(ISNUMBER((AY18+AZ18)/BA18),(AY18+AZ18)/BA18," - ")</f>
        <v>1.6993288590604028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10212</v>
      </c>
      <c r="J19" s="134">
        <f t="shared" si="18"/>
        <v>4810</v>
      </c>
      <c r="K19" s="134">
        <f t="shared" si="18"/>
        <v>6362</v>
      </c>
      <c r="L19" s="134">
        <f t="shared" si="18"/>
        <v>8724</v>
      </c>
      <c r="M19" s="134">
        <f t="shared" si="18"/>
        <v>1479</v>
      </c>
      <c r="N19" s="134">
        <f t="shared" si="18"/>
        <v>2986</v>
      </c>
      <c r="O19" s="134">
        <f t="shared" si="18"/>
        <v>1689</v>
      </c>
      <c r="P19" s="134">
        <f t="shared" si="18"/>
        <v>1072</v>
      </c>
      <c r="Q19" s="134">
        <f t="shared" si="18"/>
        <v>650</v>
      </c>
      <c r="R19" s="134">
        <f t="shared" si="18"/>
        <v>10448</v>
      </c>
      <c r="S19" s="134">
        <f t="shared" si="18"/>
        <v>8619</v>
      </c>
      <c r="T19" s="134">
        <f t="shared" si="18"/>
        <v>5696</v>
      </c>
      <c r="U19" s="134">
        <f t="shared" si="18"/>
        <v>6190</v>
      </c>
      <c r="V19" s="134">
        <f t="shared" si="18"/>
        <v>8140</v>
      </c>
      <c r="W19" s="134">
        <f t="shared" si="18"/>
        <v>1521</v>
      </c>
      <c r="X19" s="134">
        <f t="shared" si="18"/>
        <v>2839</v>
      </c>
      <c r="Y19" s="134">
        <f t="shared" si="18"/>
        <v>564</v>
      </c>
      <c r="Z19" s="134">
        <f t="shared" si="18"/>
        <v>248</v>
      </c>
      <c r="AA19" s="134">
        <f t="shared" si="18"/>
        <v>247</v>
      </c>
      <c r="AB19" s="134">
        <f t="shared" si="18"/>
        <v>575</v>
      </c>
      <c r="AC19" s="134">
        <f t="shared" si="18"/>
        <v>0</v>
      </c>
      <c r="AD19" s="134">
        <f t="shared" si="18"/>
        <v>98</v>
      </c>
      <c r="AE19" s="134">
        <f t="shared" si="18"/>
        <v>98</v>
      </c>
      <c r="AF19" s="134">
        <f t="shared" si="18"/>
        <v>0</v>
      </c>
      <c r="AG19" s="134">
        <f t="shared" si="18"/>
        <v>508</v>
      </c>
      <c r="AH19" s="134">
        <f t="shared" si="18"/>
        <v>310</v>
      </c>
      <c r="AI19" s="134">
        <f t="shared" si="18"/>
        <v>239</v>
      </c>
      <c r="AJ19" s="134">
        <f t="shared" si="18"/>
        <v>579</v>
      </c>
      <c r="AK19" s="134">
        <f t="shared" si="18"/>
        <v>0</v>
      </c>
      <c r="AL19" s="134">
        <f t="shared" si="18"/>
        <v>139</v>
      </c>
      <c r="AM19" s="134">
        <f t="shared" si="18"/>
        <v>139</v>
      </c>
      <c r="AN19" s="210">
        <f t="shared" si="18"/>
        <v>0</v>
      </c>
      <c r="AO19" s="211">
        <v>12</v>
      </c>
      <c r="AP19" s="211">
        <v>12</v>
      </c>
      <c r="AQ19" s="211">
        <v>12</v>
      </c>
      <c r="AR19" s="211">
        <v>12</v>
      </c>
      <c r="AS19" s="153">
        <f t="shared" si="18"/>
        <v>0</v>
      </c>
      <c r="AT19" s="153">
        <f t="shared" si="18"/>
        <v>0</v>
      </c>
      <c r="AU19" s="211"/>
      <c r="AV19" s="212"/>
      <c r="AW19" s="211"/>
      <c r="AX19" s="212"/>
      <c r="AY19" s="133">
        <f>SUBTOTAL(9,AY9:AY18)</f>
        <v>9127</v>
      </c>
      <c r="AZ19" s="134">
        <f>SUBTOTAL(9,AZ9:AZ18)</f>
        <v>6006</v>
      </c>
      <c r="BA19" s="134">
        <f>SUBTOTAL(9,BA9:BA18)</f>
        <v>6429</v>
      </c>
      <c r="BB19" s="134">
        <f>SUBTOTAL(9,BB9:BB18)</f>
        <v>8719</v>
      </c>
      <c r="BC19" s="135">
        <f>SUBTOTAL(9,BC9:BC18)</f>
        <v>1434</v>
      </c>
      <c r="BD19" s="213">
        <f>IF(ISNUMBER(BA19/AZ19),BA19/AZ19," - ")</f>
        <v>1.0704295704295703</v>
      </c>
      <c r="BE19" s="210">
        <f>IF(ISNUMBER(BB19/BA19),BB19/BA19, " - ")</f>
        <v>1.3561984756571783</v>
      </c>
      <c r="BF19" s="210">
        <f>IF(ISNUMBER(BC19/BA19),BC19/BA19, " - ")</f>
        <v>0.22305179654689689</v>
      </c>
      <c r="BG19" s="135">
        <f>IF(ISNUMBER((AY19+AZ19)/BA19),(AY19+AZ19)/BA19," - ")</f>
        <v>2.3538652978690311</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k2Y26STF3i8KpK2K7ZgrHrBJASXcmvooBD+5mvS/IJE0TYwcP0pznWPOk2wpVnrop+ULSN1uaZp5Gaech+ejw==" saltValue="x4dqXwupC5Gu4LXr1n5EU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yIyguGhQBo0bRj51uPhxJdgHvnv3xAuBUfr7Z25o7XrVHJZkQ2J4dXSfVhpcnS5gornWoq0oS+e2Cg/Lia8bA==" saltValue="Vw69qmdBX1ysb5WO4aB+4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JAEN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101</v>
      </c>
      <c r="O9" s="334"/>
      <c r="P9" s="334"/>
      <c r="Q9" s="226">
        <f>IF(ISNUMBER(Datos!P9),Datos!P9,0)</f>
        <v>803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434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122</v>
      </c>
      <c r="AI9" s="334" t="str">
        <f>IF(ISNUMBER(Datos!CD9),Datos!CD9,"-")</f>
        <v>-</v>
      </c>
      <c r="AJ9" s="334" t="str">
        <f>IF(ISNUMBER(Datos!EN9),Datos!EN9," - ")</f>
        <v xml:space="preserve"> - </v>
      </c>
      <c r="AK9" s="334"/>
      <c r="AL9" s="479"/>
      <c r="AM9" s="335">
        <f>IF(ISNUMBER(Datos!R9),Datos!R9," - ")</f>
        <v>8720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931</v>
      </c>
      <c r="BD9" s="229">
        <f>IF(ISNUMBER(Datos!N9),Datos!N9," - ")</f>
        <v>1008</v>
      </c>
      <c r="BE9" s="229" t="str">
        <f>IF(ISNUMBER(Datos!BW9),Datos!BW9," - ")</f>
        <v xml:space="preserve"> - </v>
      </c>
      <c r="BF9" s="228" t="str">
        <f>IF(ISNUMBER(Datos!BX9),Datos!BX9," - ")</f>
        <v xml:space="preserve"> - </v>
      </c>
      <c r="BG9" s="243">
        <f>IF(ISNUMBER(IF(J_V="SI",Datos!K9/Datos!J9,(Datos!K9+Datos!AA9)/(Datos!J9+Datos!Z9))),IF(J_V="SI",Datos!K9/Datos!J9,(Datos!K9+Datos!AA9)/(Datos!J9+Datos!Z9))," - ")</f>
        <v>1.5980603448275863</v>
      </c>
      <c r="BH9" s="260">
        <f>IF(ISNUMBER(((IF(J_V="SI",Datos!L9/Datos!K9,(Datos!L9+Datos!AB9)/(Datos!K9+Datos!AA9)))*11)/factor_trimestre),((IF(J_V="SI",Datos!L9/Datos!K9,(Datos!L9+Datos!AB9)/(Datos!K9+Datos!AA9)))*11)/factor_trimestre," - ")</f>
        <v>6.0171948752528666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4.4186324991019037E-2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88</v>
      </c>
      <c r="G10" s="333">
        <f>IF(ISNUMBER(Datos!I10),Datos!I10," - ")</f>
        <v>88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85</v>
      </c>
      <c r="AC10" s="226">
        <f>IF(ISNUMBER(Datos!Q10),Datos!Q10," - ")</f>
        <v>10</v>
      </c>
      <c r="AD10" s="334"/>
      <c r="AE10" s="484"/>
      <c r="AF10" s="332">
        <f>IF(ISNUMBER(Datos!L10),Datos!L10,"-")</f>
        <v>104</v>
      </c>
      <c r="AG10" s="334"/>
      <c r="AH10" s="334"/>
      <c r="AI10" s="334"/>
      <c r="AJ10" s="334"/>
      <c r="AK10" s="334"/>
      <c r="AL10" s="479"/>
      <c r="AM10" s="335">
        <f>IF(ISNUMBER(Datos!R10),Datos!R10," - ")</f>
        <v>53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58</v>
      </c>
      <c r="BE10" s="229" t="str">
        <f>IF(ISNUMBER(Datos!BW10),Datos!BW10," - ")</f>
        <v xml:space="preserve"> - </v>
      </c>
      <c r="BF10" s="228" t="str">
        <f>IF(ISNUMBER(Datos!BX10),Datos!BX10," - ")</f>
        <v xml:space="preserve"> - </v>
      </c>
      <c r="BG10" s="243">
        <f>IF(ISNUMBER(Datos!K10/Datos!J10),Datos!K10/Datos!J10," - ")</f>
        <v>0.84158415841584155</v>
      </c>
      <c r="BH10" s="260">
        <f>IF(ISNUMBER(((Datos!L10/Datos!K10)*11)/factor_trimestre),((Datos!L10/Datos!K10)*11)/factor_trimestre," - ")</f>
        <v>3.6705882352941184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147</v>
      </c>
      <c r="O11" s="334"/>
      <c r="P11" s="334"/>
      <c r="Q11" s="226">
        <f>IF(ISNUMBER(Datos!P11),Datos!P11,0)</f>
        <v>134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45</v>
      </c>
      <c r="AD11" s="334"/>
      <c r="AE11" s="484"/>
      <c r="AF11" s="332" t="str">
        <f>IF(ISNUMBER(IF(J_V="SI",Datos!L11,Datos!L11+Datos!AB11)-IF(Monitorios="SI",Datos!CD11,0)),
                          IF(J_V="SI",Datos!L11,Datos!L11+Datos!AB11)-IF(Monitorios="SI",Datos!CD11,0),
                          " - ")</f>
        <v xml:space="preserve"> - </v>
      </c>
      <c r="AG11" s="334"/>
      <c r="AH11" s="334">
        <f>IF(ISNUMBER(Datos!AB11),Datos!AB11,"-")</f>
        <v>453</v>
      </c>
      <c r="AI11" s="334"/>
      <c r="AJ11" s="334"/>
      <c r="AK11" s="334"/>
      <c r="AL11" s="479"/>
      <c r="AM11" s="335">
        <f>IF(ISNUMBER(Datos!R11),Datos!R11," - ")</f>
        <v>1288</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253</v>
      </c>
      <c r="BD11" s="229">
        <f>IF(ISNUMBER(Datos!N11),Datos!N11," - ")</f>
        <v>327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1.4041811846689896</v>
      </c>
      <c r="BH11" s="260">
        <f>IF(ISNUMBER(((IF(J_V="SI",Datos!L11/Datos!K11,(Datos!L11+Datos!AB11)/(Datos!K11+Datos!AA11)))*11)/factor_trimestre),((IF(J_V="SI",Datos!L11/Datos!K11,(Datos!L11+Datos!AB11)/(Datos!K11+Datos!AA11)))*11)/factor_trimestre," - ")</f>
        <v>4.6823821339950369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7.422852376980818E-2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88</v>
      </c>
      <c r="G13" s="898">
        <f t="shared" si="0"/>
        <v>88</v>
      </c>
      <c r="H13" s="899">
        <f t="shared" si="0"/>
        <v>0</v>
      </c>
      <c r="I13" s="898">
        <f t="shared" si="0"/>
        <v>0</v>
      </c>
      <c r="J13" s="867">
        <f t="shared" si="0"/>
        <v>0</v>
      </c>
      <c r="K13" s="867">
        <f t="shared" si="0"/>
        <v>0</v>
      </c>
      <c r="L13" s="899">
        <f t="shared" si="0"/>
        <v>0</v>
      </c>
      <c r="M13" s="899">
        <f t="shared" si="0"/>
        <v>0</v>
      </c>
      <c r="N13" s="899">
        <f t="shared" si="0"/>
        <v>248</v>
      </c>
      <c r="O13" s="900">
        <f t="shared" si="0"/>
        <v>0</v>
      </c>
      <c r="P13" s="900">
        <f t="shared" si="0"/>
        <v>0</v>
      </c>
      <c r="Q13" s="899">
        <f t="shared" si="0"/>
        <v>947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85</v>
      </c>
      <c r="AC13" s="899">
        <f t="shared" si="1"/>
        <v>489</v>
      </c>
      <c r="AD13" s="899">
        <f t="shared" si="1"/>
        <v>0</v>
      </c>
      <c r="AE13" s="899">
        <f t="shared" si="1"/>
        <v>0</v>
      </c>
      <c r="AF13" s="899">
        <f t="shared" si="1"/>
        <v>104</v>
      </c>
      <c r="AG13" s="899">
        <f t="shared" si="1"/>
        <v>0</v>
      </c>
      <c r="AH13" s="899">
        <f t="shared" si="1"/>
        <v>575</v>
      </c>
      <c r="AI13" s="899">
        <f t="shared" si="1"/>
        <v>0</v>
      </c>
      <c r="AJ13" s="899">
        <f t="shared" si="1"/>
        <v>0</v>
      </c>
      <c r="AK13" s="899">
        <f t="shared" si="1"/>
        <v>0</v>
      </c>
      <c r="AL13" s="899">
        <f t="shared" si="1"/>
        <v>0</v>
      </c>
      <c r="AM13" s="899">
        <f t="shared" si="1"/>
        <v>10061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1207</v>
      </c>
      <c r="BD13" s="899">
        <f t="shared" si="1"/>
        <v>1393</v>
      </c>
      <c r="BE13" s="899">
        <f t="shared" si="1"/>
        <v>0</v>
      </c>
      <c r="BF13" s="899">
        <f t="shared" si="1"/>
        <v>0</v>
      </c>
      <c r="BG13" s="899">
        <f>IF(ISNUMBER(Datos!K13/Datos!J13),Datos!K13/Datos!J13," - ")</f>
        <v>1.5812527376259309</v>
      </c>
      <c r="BH13" s="903">
        <f>IF(ISNUMBER(((Datos!L13/Datos!K13)*11)/factor_trimestre),((Datos!L13/Datos!K13)*11)/factor_trimestre," - ")</f>
        <v>5.5977839335180057</v>
      </c>
      <c r="BI13" s="899">
        <f>IF(ISNUMBER('Resol  Asuntos'!D13/NºAsuntos!G13),'Resol  Asuntos'!D13/NºAsuntos!G13," - ")</f>
        <v>0.31293751620430388</v>
      </c>
      <c r="BJ13" s="899" t="str">
        <f>IF(ISNUMBER(Datos!CI13/Datos!CJ13),Datos!CI13/Datos!CJ13," - ")</f>
        <v xml:space="preserve"> - </v>
      </c>
      <c r="BK13" s="899">
        <f>SUBTOTAL(9,BK8:BK12)</f>
        <v>0</v>
      </c>
      <c r="BL13" s="899">
        <f>IF(ISNUMBER((I13-AB13+L13)/(F13)),(I13-AB13+L13)/(F13)," - ")</f>
        <v>-0.96590909090909094</v>
      </c>
      <c r="BM13" s="904">
        <f>SUBTOTAL(9,BM9:BM12)</f>
        <v>0.11841484876082722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1873</v>
      </c>
      <c r="G15" s="598">
        <f>IF(ISNUMBER(IF(D_I="SI",Datos!I15,Datos!I15+Datos!AC15)),IF(D_I="SI",Datos!I15,Datos!I15+Datos!AC15)," - ")</f>
        <v>1833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125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2423</v>
      </c>
      <c r="AC15" s="226">
        <f>IF(ISNUMBER(Datos!Q15),Datos!Q15," - ")</f>
        <v>159</v>
      </c>
      <c r="AD15" s="334"/>
      <c r="AE15" s="484"/>
      <c r="AF15" s="596">
        <f>IF(ISNUMBER(IF(D_I="SI",Datos!L15,Datos!L15+Datos!AF15)),IF(D_I="SI",Datos!L15,Datos!L15+Datos!AF15)," - ")</f>
        <v>1685</v>
      </c>
      <c r="AG15" s="334"/>
      <c r="AH15" s="334"/>
      <c r="AI15" s="334"/>
      <c r="AJ15" s="334"/>
      <c r="AK15" s="334"/>
      <c r="AL15" s="479"/>
      <c r="AM15" s="335">
        <f>IF(ISNUMBER(Datos!R15),Datos!R15," - ")</f>
        <v>387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265</v>
      </c>
      <c r="BD15" s="229">
        <f>IF(ISNUMBER(Datos!N15),Datos!N15," - ")</f>
        <v>1398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1.0841163310961968</v>
      </c>
      <c r="BH15" s="260">
        <f>IF(ISNUMBER(((IF(D_I="SI",Datos!L15/Datos!K15,(Datos!L15+Datos!AF15)/(Datos!K15+Datos!AE15)))*11)/factor_trimestre),((IF(D_I="SI",Datos!L15/Datos!K15,(Datos!L15+Datos!AF15)/(Datos!K15+Datos!AE15)))*11)/factor_trimestre," - ")</f>
        <v>2.0862567065621134</v>
      </c>
      <c r="BI15" s="243">
        <f>IF(ISNUMBER('Resol  Asuntos'!D15/NºAsuntos!G15),'Resol  Asuntos'!D15/NºAsuntos!G15," - ")</f>
        <v>0.10936855138258357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329</v>
      </c>
      <c r="AC17" s="226">
        <f>IF(ISNUMBER(Datos!Q17),Datos!Q17," - ")</f>
        <v>2</v>
      </c>
      <c r="AD17" s="334"/>
      <c r="AE17" s="484"/>
      <c r="AF17" s="332">
        <f>IF(ISNUMBER(Datos!L17),Datos!L17,"-")</f>
        <v>303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195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1.1267123287671232</v>
      </c>
      <c r="BH17" s="260">
        <f>IF(ISNUMBER(((IF(D_I="SI",Datos!L17/Datos!K17,(Datos!L17+Datos!AF17)/(Datos!K17+Datos!AE17)))*11)/factor_trimestre),((IF(D_I="SI",Datos!L17/Datos!K17,(Datos!L17+Datos!AF17)/(Datos!K17+Datos!AE17)))*11)/factor_trimestre," - ")</f>
        <v>2.7629179331306997</v>
      </c>
      <c r="BI17" s="243">
        <f>IF(ISNUMBER('Resol  Asuntos'!D17/NºAsuntos!G17),'Resol  Asuntos'!D17/NºAsuntos!G17," - ")</f>
        <v>2.1276595744680851E-2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1873</v>
      </c>
      <c r="G18" s="898">
        <f>SUBTOTAL(9,G15:G17)</f>
        <v>2173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2752</v>
      </c>
      <c r="AC18" s="899">
        <f t="shared" si="4"/>
        <v>161</v>
      </c>
      <c r="AD18" s="899">
        <f t="shared" si="4"/>
        <v>0</v>
      </c>
      <c r="AE18" s="899">
        <f t="shared" si="4"/>
        <v>0</v>
      </c>
      <c r="AF18" s="899">
        <f t="shared" si="4"/>
        <v>1988</v>
      </c>
      <c r="AG18" s="899">
        <f t="shared" si="4"/>
        <v>0</v>
      </c>
      <c r="AH18" s="899">
        <f t="shared" si="4"/>
        <v>0</v>
      </c>
      <c r="AI18" s="899">
        <f t="shared" si="4"/>
        <v>0</v>
      </c>
      <c r="AJ18" s="899">
        <f t="shared" si="4"/>
        <v>0</v>
      </c>
      <c r="AK18" s="899">
        <f t="shared" si="4"/>
        <v>0</v>
      </c>
      <c r="AL18" s="899">
        <f t="shared" si="4"/>
        <v>0</v>
      </c>
      <c r="AM18" s="899">
        <f t="shared" si="4"/>
        <v>387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272</v>
      </c>
      <c r="BD18" s="899">
        <f t="shared" si="4"/>
        <v>1593</v>
      </c>
      <c r="BE18" s="899">
        <f t="shared" si="4"/>
        <v>0</v>
      </c>
      <c r="BF18" s="899">
        <f t="shared" si="4"/>
        <v>0</v>
      </c>
      <c r="BG18" s="899">
        <f>IF(ISNUMBER(Datos!K18/Datos!J18),Datos!K18/Datos!J18," - ")</f>
        <v>1.0890383854372774</v>
      </c>
      <c r="BH18" s="903">
        <f>IF(ISNUMBER(((Datos!L18/Datos!K18)*11)/factor_trimestre),((Datos!L18/Datos!K18)*11)/factor_trimestre," - ")</f>
        <v>2.1671511627906979</v>
      </c>
      <c r="BI18" s="899">
        <f>SUBTOTAL(9,BI15:BI17)</f>
        <v>0.13064514712726441</v>
      </c>
      <c r="BJ18" s="899">
        <f>SUBTOTAL(9,BJ15:BJ17)</f>
        <v>0</v>
      </c>
      <c r="BK18" s="899">
        <f>SUBTOTAL(9,BK15:BK17)</f>
        <v>0</v>
      </c>
      <c r="BL18" s="899">
        <f>IF(ISNUMBER((I18-AB18+L18)/(F18)),(I18-AB18+L18)/(F18)," - ")</f>
        <v>-1.4693005872931126</v>
      </c>
      <c r="BM18" s="905">
        <f>IF(ISNUMBER((Datos!P18-Datos!Q18)/(Datos!R18-Datos!P18+Datos!Q18)),(Datos!P18-Datos!Q18)/(Datos!R18-Datos!P18+Datos!Q18)," - ")</f>
        <v>-8.5106382978723402E-2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13</v>
      </c>
      <c r="F19" s="820">
        <f t="shared" si="6"/>
        <v>1961</v>
      </c>
      <c r="G19" s="820">
        <f t="shared" si="6"/>
        <v>2261</v>
      </c>
      <c r="H19" s="822">
        <f t="shared" si="6"/>
        <v>0</v>
      </c>
      <c r="I19" s="820">
        <f t="shared" si="6"/>
        <v>0</v>
      </c>
      <c r="J19" s="822">
        <f t="shared" si="6"/>
        <v>0</v>
      </c>
      <c r="K19" s="822">
        <f t="shared" si="6"/>
        <v>0</v>
      </c>
      <c r="L19" s="881">
        <f t="shared" si="6"/>
        <v>0</v>
      </c>
      <c r="M19" s="881">
        <f t="shared" si="6"/>
        <v>0</v>
      </c>
      <c r="N19" s="881">
        <f t="shared" si="6"/>
        <v>248</v>
      </c>
      <c r="O19" s="881">
        <f t="shared" si="6"/>
        <v>0</v>
      </c>
      <c r="P19" s="881">
        <f t="shared" si="6"/>
        <v>0</v>
      </c>
      <c r="Q19" s="822">
        <f t="shared" si="6"/>
        <v>1072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2837</v>
      </c>
      <c r="AC19" s="821">
        <f t="shared" si="7"/>
        <v>650</v>
      </c>
      <c r="AD19" s="821">
        <f t="shared" si="7"/>
        <v>0</v>
      </c>
      <c r="AE19" s="821">
        <f t="shared" si="7"/>
        <v>0</v>
      </c>
      <c r="AF19" s="828">
        <f t="shared" si="7"/>
        <v>2092</v>
      </c>
      <c r="AG19" s="828">
        <f t="shared" si="7"/>
        <v>0</v>
      </c>
      <c r="AH19" s="828">
        <f t="shared" si="7"/>
        <v>575</v>
      </c>
      <c r="AI19" s="828">
        <f t="shared" si="7"/>
        <v>0</v>
      </c>
      <c r="AJ19" s="821">
        <f t="shared" si="7"/>
        <v>0</v>
      </c>
      <c r="AK19" s="828">
        <f t="shared" si="7"/>
        <v>0</v>
      </c>
      <c r="AL19" s="828">
        <f t="shared" si="7"/>
        <v>0</v>
      </c>
      <c r="AM19" s="828">
        <f t="shared" si="7"/>
        <v>10448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1479</v>
      </c>
      <c r="BD19" s="820">
        <f t="shared" si="7"/>
        <v>2986</v>
      </c>
      <c r="BE19" s="820">
        <f t="shared" si="7"/>
        <v>0</v>
      </c>
      <c r="BF19" s="830">
        <f t="shared" si="7"/>
        <v>0</v>
      </c>
      <c r="BG19" s="915">
        <f>IF(ISNUMBER(Datos!K19/Datos!J19),Datos!K19/Datos!J19," - ")</f>
        <v>1.3226611226611227</v>
      </c>
      <c r="BH19" s="915">
        <f>IF(ISNUMBER(((Datos!L19/Datos!K19)*11)/factor_trimestre),((Datos!L19/Datos!K19)*11)/factor_trimestre," - ")</f>
        <v>4.1138006916064134</v>
      </c>
      <c r="BI19" s="813">
        <f>IF(ISNUMBER(Datos!J19/Datos!I19),Datos!J19/Datos!I19," - ")</f>
        <v>0.47101449275362317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-1.4467108618052014</v>
      </c>
      <c r="BM19" s="889">
        <f>IF(ISNUMBER((Datos!P19-Datos!Q19+R19)/(Datos!R19-Datos!P19+Datos!Q19-R19)),(Datos!P19-Datos!Q19+R19)/(Datos!R19-Datos!P19+Datos!Q19-R19)," - ")</f>
        <v>4.209056453221624E-2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904.4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2.7588242262078082</v>
      </c>
      <c r="F21" s="551">
        <f>IF(ISNUMBER(STDEV(F8:F18)),STDEV(F8:F18),"-")</f>
        <v>1030.570230503482</v>
      </c>
      <c r="G21" s="552">
        <f>IF(ISNUMBER(STDEV(G8:G18)),STDEV(G8:G18),"-")</f>
        <v>1015.2843444080087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1334.9408975681283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462.32018383470171</v>
      </c>
      <c r="BD21" s="551"/>
      <c r="BE21" s="551">
        <f>IF(ISNUMBER(STDEV(BE8:BE18)),STDEV(BE8:BE18),"-")</f>
        <v>0</v>
      </c>
      <c r="BF21" s="556">
        <f>IF(ISNUMBER(STDEV(BF8:BF18)),STDEV(BF8:BF18),"-")</f>
        <v>0</v>
      </c>
      <c r="BG21" s="775">
        <f>IF(ISNUMBER(STDEV(BG8:BG18)),STDEV(BG8:BG18),"-")</f>
        <v>0.2857696987685428</v>
      </c>
      <c r="BH21" s="776">
        <f>IF(ISNUMBER(STDEV(BH8:BH18)),STDEV(BH8:BH18),"-")</f>
        <v>1.6124970859482124</v>
      </c>
      <c r="BI21" s="249">
        <f>IF(ISNUMBER(STDEV(BI8:BI18)),STDEV(BI8:BI18),"-")</f>
        <v>0.12244430366217482</v>
      </c>
      <c r="BJ21" s="230" t="str">
        <f>IF(ISNUMBER(BL21/BM21),BL21/BM21," - ")</f>
        <v xml:space="preserve"> - </v>
      </c>
      <c r="BK21" s="575"/>
      <c r="BL21" s="559">
        <f>IF(ISNUMBER(STDEV(BL8:BL18)),STDEV(BL8:BL18),"-")</f>
        <v>0.35595154068478468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8PJWkcD+yr+KaFsaNbqkgLQvUc1TvgD6NbBXCtUbTGFBA/lvR8RcACTKcoNCsEEh7edlkWQIVlhJNynR1Qiq0A==" saltValue="jlKdBXqyY0FkTFtpMxNj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JAEN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803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434</v>
      </c>
      <c r="AA9" s="332" t="str">
        <f>IF(ISNUMBER(IF(J_V="SI",Datos!L9,Datos!L9+Datos!AB9)-IF(Monitorios="SI",Datos!CD9,0)),
                          IF(J_V="SI",Datos!L9,Datos!L9+Datos!AB9)-IF(Monitorios="SI",Datos!CD9,0),
                          " - ")</f>
        <v xml:space="preserve"> - </v>
      </c>
      <c r="AB9" s="334"/>
      <c r="AC9" s="334"/>
      <c r="AD9" s="484"/>
      <c r="AE9" s="484">
        <f>IF(ISNUMBER(Datos!R9),Datos!R9," - ")</f>
        <v>8720</v>
      </c>
      <c r="AF9" s="229" t="str">
        <f>IF(ISNUMBER(Datos!BV9),Datos!BV9," - ")</f>
        <v xml:space="preserve"> - </v>
      </c>
      <c r="AG9" s="225" t="str">
        <f>IF(ISNUMBER(Datos!DV9),Datos!DV9," - ")</f>
        <v xml:space="preserve"> - </v>
      </c>
      <c r="AH9" s="298"/>
      <c r="AI9" s="227"/>
      <c r="AJ9" s="225">
        <f>IF(ISNUMBER(Datos!M9),Datos!M9," - ")</f>
        <v>931</v>
      </c>
      <c r="AK9" s="229">
        <f>IF(ISNUMBER(Datos!N9),Datos!N9," - ")</f>
        <v>1008</v>
      </c>
      <c r="AL9" s="229" t="str">
        <f>IF(ISNUMBER(Datos!BW9),Datos!BW9," - ")</f>
        <v xml:space="preserve"> - </v>
      </c>
      <c r="AM9" s="228" t="str">
        <f>IF(ISNUMBER(Datos!BX9),Datos!BX9," - ")</f>
        <v xml:space="preserve"> - </v>
      </c>
      <c r="AN9" s="243"/>
      <c r="AO9" s="260">
        <f>IF(ISNUMBER(((NºAsuntos!I9/NºAsuntos!G9)*11)/factor_trimestre),((NºAsuntos!I9/NºAsuntos!G9)*11)/factor_trimestre," - ")</f>
        <v>6.0171948752528666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4.4186324991019037E-2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88</v>
      </c>
      <c r="G10" s="225">
        <f>IF(ISNUMBER(Datos!I10),Datos!I10," - ")</f>
        <v>88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85</v>
      </c>
      <c r="Z10" s="619">
        <f>IF(ISNUMBER(Datos!Q10),Datos!Q10," - ")</f>
        <v>10</v>
      </c>
      <c r="AA10" s="332">
        <f>IF(ISNUMBER(Datos!L10),Datos!L10,"-")</f>
        <v>104</v>
      </c>
      <c r="AB10" s="334"/>
      <c r="AC10" s="334"/>
      <c r="AD10" s="484"/>
      <c r="AE10" s="484">
        <f>IF(ISNUMBER(Datos!R10),Datos!R10," - ")</f>
        <v>53</v>
      </c>
      <c r="AF10" s="229" t="str">
        <f>IF(ISNUMBER(Datos!BV10),Datos!BV10," - ")</f>
        <v xml:space="preserve"> - </v>
      </c>
      <c r="AG10" s="225" t="str">
        <f>IF(ISNUMBER(Datos!DV10),Datos!DV10," - ")</f>
        <v xml:space="preserve"> - </v>
      </c>
      <c r="AH10" s="298"/>
      <c r="AI10" s="227"/>
      <c r="AJ10" s="225">
        <f>IF(ISNUMBER(Datos!M10),Datos!M10," - ")</f>
        <v>23</v>
      </c>
      <c r="AK10" s="229">
        <f>IF(ISNUMBER(Datos!N10),Datos!N10," - ")</f>
        <v>58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3.6705882352941184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45</v>
      </c>
      <c r="AA11" s="332" t="str">
        <f>IF(ISNUMBER(IF(J_V="SI",Datos!L11,Datos!L11+Datos!AB11)-IF(Monitorios="SI",Datos!CD11,0)),
                          IF(J_V="SI",Datos!L11,Datos!L11+Datos!AB11)-IF(Monitorios="SI",Datos!CD11,0),
                          " - ")</f>
        <v xml:space="preserve"> - </v>
      </c>
      <c r="AB11" s="334"/>
      <c r="AC11" s="334"/>
      <c r="AD11" s="484"/>
      <c r="AE11" s="484">
        <f>IF(ISNUMBER(Datos!R11),Datos!R11," - ")</f>
        <v>1288</v>
      </c>
      <c r="AF11" s="229" t="str">
        <f>IF(ISNUMBER(Datos!BV11),Datos!BV11," - ")</f>
        <v xml:space="preserve"> - </v>
      </c>
      <c r="AG11" s="225" t="str">
        <f>IF(ISNUMBER(Datos!DV11),Datos!DV11," - ")</f>
        <v xml:space="preserve"> - </v>
      </c>
      <c r="AH11" s="298"/>
      <c r="AI11" s="227"/>
      <c r="AJ11" s="225">
        <f>IF(ISNUMBER(Datos!M11),Datos!M11," - ")</f>
        <v>253</v>
      </c>
      <c r="AK11" s="229">
        <f>IF(ISNUMBER(Datos!N11),Datos!N11," - ")</f>
        <v>327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4.6823821339950369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7.422852376980818E-2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88</v>
      </c>
      <c r="G13" s="898">
        <f>SUBTOTAL(9,G8:G12)</f>
        <v>88</v>
      </c>
      <c r="H13" s="908"/>
      <c r="I13" s="898">
        <f t="shared" ref="I13:N13" si="0">SUBTOTAL(9,I8:I12)</f>
        <v>0</v>
      </c>
      <c r="J13" s="867">
        <f t="shared" si="0"/>
        <v>0</v>
      </c>
      <c r="K13" s="908">
        <f t="shared" si="0"/>
        <v>0</v>
      </c>
      <c r="L13" s="908">
        <f t="shared" si="0"/>
        <v>0</v>
      </c>
      <c r="M13" s="908">
        <f t="shared" si="0"/>
        <v>0</v>
      </c>
      <c r="N13" s="908">
        <f t="shared" si="0"/>
        <v>947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85</v>
      </c>
      <c r="Z13" s="907">
        <f t="shared" si="2"/>
        <v>489</v>
      </c>
      <c r="AA13" s="900">
        <f t="shared" si="2"/>
        <v>104</v>
      </c>
      <c r="AB13" s="900">
        <f t="shared" si="2"/>
        <v>0</v>
      </c>
      <c r="AC13" s="900">
        <f t="shared" si="2"/>
        <v>0</v>
      </c>
      <c r="AD13" s="900">
        <f t="shared" si="2"/>
        <v>0</v>
      </c>
      <c r="AE13" s="900">
        <f t="shared" si="2"/>
        <v>10061</v>
      </c>
      <c r="AF13" s="908">
        <f t="shared" si="2"/>
        <v>0</v>
      </c>
      <c r="AG13" s="908">
        <f t="shared" si="2"/>
        <v>0</v>
      </c>
      <c r="AH13" s="908">
        <f t="shared" si="2"/>
        <v>0</v>
      </c>
      <c r="AI13" s="908">
        <f t="shared" si="2"/>
        <v>0</v>
      </c>
      <c r="AJ13" s="908">
        <f t="shared" si="2"/>
        <v>1207</v>
      </c>
      <c r="AK13" s="908">
        <f t="shared" si="2"/>
        <v>1393</v>
      </c>
      <c r="AL13" s="908">
        <f t="shared" si="2"/>
        <v>0</v>
      </c>
      <c r="AM13" s="908">
        <f t="shared" si="2"/>
        <v>0</v>
      </c>
      <c r="AN13" s="908">
        <f t="shared" si="2"/>
        <v>0</v>
      </c>
      <c r="AO13" s="904">
        <f>IF(ISNUMBER(((NºAsuntos!I13/NºAsuntos!G13)*11)/factor_trimestre),((NºAsuntos!I13/NºAsuntos!G13)*11)/factor_trimestre," - ")</f>
        <v>5.686543946072077</v>
      </c>
      <c r="AP13" s="910" t="str">
        <f>IF(ISNUMBER(Datos!CI13/Datos!CJ13),Datos!CI13/Datos!CJ13," - ")</f>
        <v xml:space="preserve"> - </v>
      </c>
      <c r="AQ13" s="928">
        <f t="shared" ref="AQ13:AV13" si="3">SUBTOTAL(9,AQ9:AQ12)</f>
        <v>0</v>
      </c>
      <c r="AR13" s="928">
        <f t="shared" si="3"/>
        <v>0.11841484876082722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1873</v>
      </c>
      <c r="G15" s="225">
        <f>IF(ISNUMBER(IF(D_I="SI",Datos!I15,Datos!I15+Datos!AC15)),IF(D_I="SI",Datos!I15,Datos!I15+Datos!AC15)," - ")</f>
        <v>1833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125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2423</v>
      </c>
      <c r="Z15" s="619">
        <f>IF(ISNUMBER(Datos!Q15),Datos!Q15," - ")</f>
        <v>159</v>
      </c>
      <c r="AA15" s="332">
        <f>IF(ISNUMBER(IF(D_I="SI",Datos!L15,Datos!L15+Datos!AF15)),IF(D_I="SI",Datos!L15,Datos!L15+Datos!AF15)," - ")</f>
        <v>1685</v>
      </c>
      <c r="AB15" s="334"/>
      <c r="AC15" s="334"/>
      <c r="AD15" s="484"/>
      <c r="AE15" s="484">
        <f>IF(ISNUMBER(Datos!R15),Datos!R15," - ")</f>
        <v>387</v>
      </c>
      <c r="AF15" s="229" t="str">
        <f>IF(ISNUMBER(Datos!BV15),Datos!BV15," - ")</f>
        <v xml:space="preserve"> - </v>
      </c>
      <c r="AG15" s="225"/>
      <c r="AH15" s="298"/>
      <c r="AI15" s="227"/>
      <c r="AJ15" s="225">
        <f>IF(ISNUMBER(Datos!M15),Datos!M15," - ")</f>
        <v>265</v>
      </c>
      <c r="AK15" s="229">
        <f>IF(ISNUMBER(Datos!N15),Datos!N15," - ")</f>
        <v>1398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2.0862567065621134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329</v>
      </c>
      <c r="Z17" s="619">
        <f>IF(ISNUMBER(Datos!Q17),Datos!Q17," - ")</f>
        <v>2</v>
      </c>
      <c r="AA17" s="332">
        <f>IF(ISNUMBER(Datos!L17),Datos!L17,"-")</f>
        <v>303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195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2.7629179331306997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1873</v>
      </c>
      <c r="G18" s="898">
        <f>SUBTOTAL(9,G15:G17)</f>
        <v>2173</v>
      </c>
      <c r="H18" s="932">
        <f>SUBTOTAL(9,H15:H17)</f>
        <v>0</v>
      </c>
      <c r="I18" s="911">
        <f>SUBTOTAL(9,I15:I17)</f>
        <v>0</v>
      </c>
      <c r="J18" s="867">
        <f>SUBTOTAL(9,J14:J17)</f>
        <v>0</v>
      </c>
      <c r="K18" s="932">
        <f t="shared" ref="K18:S18" si="4">SUBTOTAL(9,K15:K17)</f>
        <v>0</v>
      </c>
      <c r="L18" s="932">
        <f t="shared" si="4"/>
        <v>0</v>
      </c>
      <c r="M18" s="932">
        <f t="shared" si="4"/>
        <v>0</v>
      </c>
      <c r="N18" s="932">
        <f t="shared" si="4"/>
        <v>125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2752</v>
      </c>
      <c r="Z18" s="932">
        <f t="shared" si="5"/>
        <v>161</v>
      </c>
      <c r="AA18" s="932">
        <f t="shared" si="5"/>
        <v>1988</v>
      </c>
      <c r="AB18" s="932">
        <f t="shared" si="5"/>
        <v>0</v>
      </c>
      <c r="AC18" s="932">
        <f t="shared" si="5"/>
        <v>0</v>
      </c>
      <c r="AD18" s="932">
        <f t="shared" si="5"/>
        <v>0</v>
      </c>
      <c r="AE18" s="932">
        <f t="shared" si="5"/>
        <v>387</v>
      </c>
      <c r="AF18" s="932">
        <f t="shared" si="5"/>
        <v>0</v>
      </c>
      <c r="AG18" s="932">
        <f t="shared" si="5"/>
        <v>0</v>
      </c>
      <c r="AH18" s="932">
        <f t="shared" si="5"/>
        <v>0</v>
      </c>
      <c r="AI18" s="932">
        <f t="shared" si="5"/>
        <v>0</v>
      </c>
      <c r="AJ18" s="932">
        <f t="shared" si="5"/>
        <v>272</v>
      </c>
      <c r="AK18" s="932">
        <f t="shared" si="5"/>
        <v>1593</v>
      </c>
      <c r="AL18" s="932">
        <f t="shared" si="5"/>
        <v>0</v>
      </c>
      <c r="AM18" s="932">
        <f t="shared" si="5"/>
        <v>0</v>
      </c>
      <c r="AN18" s="932">
        <f t="shared" si="5"/>
        <v>0</v>
      </c>
      <c r="AO18" s="934">
        <f>IF(ISNUMBER(((NºAsuntos!I18/NºAsuntos!G18)*11)/factor_trimestre),((NºAsuntos!I18/NºAsuntos!G18)*11)/factor_trimestre," - ")</f>
        <v>2.1671511627906979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1961</v>
      </c>
      <c r="G19" s="820">
        <f t="shared" si="7"/>
        <v>2261</v>
      </c>
      <c r="H19" s="821">
        <f t="shared" si="7"/>
        <v>0</v>
      </c>
      <c r="I19" s="820">
        <f t="shared" si="7"/>
        <v>0</v>
      </c>
      <c r="J19" s="822">
        <f t="shared" si="7"/>
        <v>0</v>
      </c>
      <c r="K19" s="820">
        <f t="shared" si="7"/>
        <v>0</v>
      </c>
      <c r="L19" s="823">
        <f t="shared" si="7"/>
        <v>0</v>
      </c>
      <c r="M19" s="820">
        <f t="shared" si="7"/>
        <v>0</v>
      </c>
      <c r="N19" s="821">
        <f t="shared" si="7"/>
        <v>1072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2837</v>
      </c>
      <c r="Z19" s="827">
        <f t="shared" si="8"/>
        <v>650</v>
      </c>
      <c r="AA19" s="828">
        <f t="shared" si="8"/>
        <v>2092</v>
      </c>
      <c r="AB19" s="828">
        <f t="shared" si="8"/>
        <v>0</v>
      </c>
      <c r="AC19" s="828">
        <f t="shared" si="8"/>
        <v>0</v>
      </c>
      <c r="AD19" s="829">
        <f t="shared" si="8"/>
        <v>0</v>
      </c>
      <c r="AE19" s="829">
        <f t="shared" si="8"/>
        <v>10448</v>
      </c>
      <c r="AF19" s="830">
        <f t="shared" si="8"/>
        <v>0</v>
      </c>
      <c r="AG19" s="831">
        <f t="shared" si="8"/>
        <v>0</v>
      </c>
      <c r="AH19" s="832">
        <f t="shared" si="8"/>
        <v>0</v>
      </c>
      <c r="AI19" s="830">
        <f t="shared" si="8"/>
        <v>0</v>
      </c>
      <c r="AJ19" s="820">
        <f t="shared" si="8"/>
        <v>1479</v>
      </c>
      <c r="AK19" s="820">
        <f t="shared" si="8"/>
        <v>2986</v>
      </c>
      <c r="AL19" s="820">
        <f t="shared" si="8"/>
        <v>0</v>
      </c>
      <c r="AM19" s="833">
        <f t="shared" si="8"/>
        <v>0</v>
      </c>
      <c r="AN19" s="823">
        <f>IF(ISNUMBER(Datos!K19/Datos!J19),Datos!K19/Datos!J19," - ")</f>
        <v>1.3226611226611227</v>
      </c>
      <c r="AO19" s="823">
        <f>IF(ISNUMBER(FIND("06",Criterios!A8,1)),(IF(ISNUMBER(((Datos!R19/Datos!Q19)*11)/factor_trimestre),((Datos!R19/Datos!Q19)*11)/factor_trimestre," - ")),(IF(ISNUMBER(((Datos!L19/Datos!K19)*11)/factor_trimestre),((Datos!L19/Datos!K19)*11)/factor_trimestre," - ")))</f>
        <v>4.1138006916064134</v>
      </c>
      <c r="AP19" s="834" t="str">
        <f>IF(ISNUMBER(Datos!CI19/Datos!CJ19),Datos!CI19/Datos!CJ19," - ")</f>
        <v xml:space="preserve"> - </v>
      </c>
      <c r="AQ19" s="834">
        <f>IF(OR(ISNUMBER(FIND("01",Criterios!A8,1)),ISNUMBER(FIND("02",Criterios!A8,1)),ISNUMBER(FIND("03",Criterios!A8,1)),ISNUMBER(FIND("04",Criterios!A8,1))),(J19-Y19+K19)/(F19-K19),(I19-Y19+K19)/(F19-K19))</f>
        <v>-1.4467108618052014</v>
      </c>
      <c r="AR19" s="834">
        <f>IF(ISNUMBER((Datos!P19-Datos!Q19+O19)/(Datos!R19-Datos!P19+Datos!Q19-O19)),(Datos!P19-Datos!Q19+O19)/(Datos!R19-Datos!P19+Datos!Q19-O19)," - ")</f>
        <v>4.209056453221624E-2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904.4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1030.570230503482</v>
      </c>
      <c r="G21" s="552">
        <f>IF(ISNUMBER(STDEV(G8:G18)),STDEV(G8:G18),"-")</f>
        <v>1015.2843444080087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462.32018383470171</v>
      </c>
      <c r="AK21" s="252"/>
      <c r="AL21" s="252">
        <f>IF(ISNUMBER(STDEV(AL8:AL18)),STDEV(AL8:AL18),"-")</f>
        <v>0</v>
      </c>
      <c r="AM21" s="254">
        <f>IF(ISNUMBER(STDEV(AM8:AM18)),STDEV(AM8:AM18),"-")</f>
        <v>0</v>
      </c>
      <c r="AN21" s="539">
        <f>IF(ISNUMBER(STDEV(AN8:AN18)),STDEV(AN8:AN18),"-")</f>
        <v>0</v>
      </c>
      <c r="AO21" s="540">
        <f>IF(ISNUMBER(STDEV(AO8:AO18)),STDEV(AO8:AO18),"-")</f>
        <v>1.6287536855927249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KVeLaZWUfe7Z/mLMY5gGtMNQJPiS2lRYEYl9Cp06ZYXRCywsz0e2UkXVf9S1A+nDb38a9lzmnMvwzoesedoPg==" saltValue="drbjXOylkP96OfHmwnEN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UqlXBwvv6Elzw/y3wuOT/POARD2w2VKQZnPrcoCjw63IpMjgfKGihYQQb88ttAQQxF0rRpV4mU0thZKH9e9hQ==" saltValue="cZw8aBK1MDnqTgdkfBEm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f2QFSBwPWEY4pYr1FY7IY1f6OK2CuRNqjdPzvmbB2iLmOw3VW169KLMbhDxfDqGz4+YdpCNqPaMRrEaH+bTEw==" saltValue="tlHRXSQC7uUr5NsuhYSm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JAEN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0.31293751620430388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0.22128023979573835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6oqZHz8cxRdFZe3/qVvl8/G/K5DMbI6pc+BtdBznC6zRC+CqMqqek/OtVqyfls8Guvb8q4kbA9UdhO4p0yk/Ow==" saltValue="y1sihdgFmApe6Tt4K+Rf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Qg7uO4MW/e9wzQRfxWMLozInk2eSR0m86P2Kw03k+SinP087QkNA7PsJwDKyyGDUZ09VDcZITV48n/9wRdoTw==" saltValue="T407dF7QUV0ZYnl0HVLV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JAEN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7024</v>
      </c>
      <c r="D9" s="404">
        <f>IF(ISNUMBER(C9/Datos!BH9),C9/Datos!BH9," - ")</f>
        <v>1404.8</v>
      </c>
      <c r="E9" s="403">
        <f>IF(ISNUMBER(IF(J_V="SI",Datos!J9,Datos!J9+Datos!Z9)),IF(J_V="SI",Datos!J9,Datos!J9+Datos!Z9)," - ")</f>
        <v>1856</v>
      </c>
      <c r="F9" s="404">
        <f>IF(ISNUMBER(E9/B9),E9/B9," - ")</f>
        <v>371.2</v>
      </c>
      <c r="G9" s="403">
        <f>IF(ISNUMBER(IF(J_V="SI",Datos!K9,Datos!K9+Datos!AA9)),IF(J_V="SI",Datos!K9,Datos!K9+Datos!AA9)," - ")</f>
        <v>2966</v>
      </c>
      <c r="H9" s="404">
        <f>IF(ISNUMBER(G9/B9),G9/B9," - ")</f>
        <v>593.20000000000005</v>
      </c>
      <c r="I9" s="403">
        <f>IF(ISNUMBER(IF(J_V="SI",Datos!L9,Datos!L9+Datos!AB9)),IF(J_V="SI",Datos!L9,Datos!L9+Datos!AB9)," - ")</f>
        <v>5949</v>
      </c>
      <c r="J9" s="404">
        <f>IF(ISNUMBER(I9/B9),I9/B9," - ")</f>
        <v>1189.8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88</v>
      </c>
      <c r="D10" s="404">
        <f>IF(ISNUMBER(C10/Datos!BH10),C10/Datos!BH10," - ")</f>
        <v>88</v>
      </c>
      <c r="E10" s="403">
        <f>IF(ISNUMBER(Datos!J10),Datos!J10," - ")</f>
        <v>101</v>
      </c>
      <c r="F10" s="404">
        <f>IF(ISNUMBER(E10/B10),E10/B10," - ")</f>
        <v>101</v>
      </c>
      <c r="G10" s="403">
        <f>IF(ISNUMBER(Datos!K10),Datos!K10," - ")</f>
        <v>85</v>
      </c>
      <c r="H10" s="404">
        <f>IF(ISNUMBER(G10/B10),G10/B10," - ")</f>
        <v>85</v>
      </c>
      <c r="I10" s="403">
        <f>IF(ISNUMBER(Datos!L10),Datos!L10," - ")</f>
        <v>104</v>
      </c>
      <c r="J10" s="404">
        <f>IF(ISNUMBER(I10/B10),I10/B10," - ")</f>
        <v>104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1491</v>
      </c>
      <c r="D11" s="404">
        <f>IF(ISNUMBER(C11/Datos!BH11),C11/Datos!BH11," - ")</f>
        <v>745.5</v>
      </c>
      <c r="E11" s="403">
        <f>IF(ISNUMBER(IF(J_V="SI",Datos!J11,Datos!J11+Datos!Z11)),IF(J_V="SI",Datos!J11,Datos!J11+Datos!Z11)," - ")</f>
        <v>574</v>
      </c>
      <c r="F11" s="404">
        <f>IF(ISNUMBER(E11/B11),E11/B11," - ")</f>
        <v>287</v>
      </c>
      <c r="G11" s="403">
        <f>IF(ISNUMBER(IF(J_V="SI",Datos!K11,Datos!K11+Datos!AA11)),IF(J_V="SI",Datos!K11,Datos!K11+Datos!AA11)," - ")</f>
        <v>806</v>
      </c>
      <c r="H11" s="404">
        <f>IF(ISNUMBER(G11/B11),G11/B11," - ")</f>
        <v>403</v>
      </c>
      <c r="I11" s="403">
        <f>IF(ISNUMBER(IF(J_V="SI",Datos!L11,Datos!L11+Datos!AB11)),IF(J_V="SI",Datos!L11,Datos!L11+Datos!AB11)," - ")</f>
        <v>1258</v>
      </c>
      <c r="J11" s="404">
        <f>IF(ISNUMBER(I11/B11),I11/B11," - ")</f>
        <v>629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8603</v>
      </c>
      <c r="D13" s="850" t="str">
        <f>IF(ISNUMBER(C13/Datos!BI13),C13/Datos!BI13," - ")</f>
        <v xml:space="preserve"> - </v>
      </c>
      <c r="E13" s="849">
        <f>SUBTOTAL(9,E8:E12)</f>
        <v>2531</v>
      </c>
      <c r="F13" s="850">
        <f>IF(ISNUMBER(E13/B13),E13/B13," - ")</f>
        <v>316.375</v>
      </c>
      <c r="G13" s="849">
        <f>SUBTOTAL(9,G8:G12)</f>
        <v>3857</v>
      </c>
      <c r="H13" s="850">
        <f>IF(ISNUMBER(G13/B13),G13/B13," - ")</f>
        <v>482.125</v>
      </c>
      <c r="I13" s="849">
        <f>SUBTOTAL(9,I8:I12)</f>
        <v>7311</v>
      </c>
      <c r="J13" s="850">
        <f>IF(ISNUMBER(I13/B13),I13/B13," - ")</f>
        <v>913.875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1833</v>
      </c>
      <c r="D15" s="404">
        <f>IF(ISNUMBER(C15/Datos!BH15),C15/Datos!BH15," - ")</f>
        <v>458.25</v>
      </c>
      <c r="E15" s="403">
        <f>IF(ISNUMBER(IF(D_I="SI",Datos!J15,Datos!J15+Datos!AD15)),IF(D_I="SI",Datos!J15,Datos!J15+Datos!AD15)," - ")</f>
        <v>2235</v>
      </c>
      <c r="F15" s="404">
        <f>IF(ISNUMBER(E15/B15),E15/B15," - ")</f>
        <v>558.75</v>
      </c>
      <c r="G15" s="403">
        <f>IF(ISNUMBER(IF(D_I="SI",Datos!K15,Datos!K15+Datos!AE15)),IF(D_I="SI",Datos!K15,Datos!K15+Datos!AE15)," - ")</f>
        <v>2423</v>
      </c>
      <c r="H15" s="404">
        <f>IF(ISNUMBER(G15/B15),G15/B15," - ")</f>
        <v>605.75</v>
      </c>
      <c r="I15" s="403">
        <f>IF(ISNUMBER(IF(D_I="SI",Datos!L15,Datos!L15+Datos!AF15)),IF(D_I="SI",Datos!L15,Datos!L15+Datos!AF15)," - ")</f>
        <v>1685</v>
      </c>
      <c r="J15" s="404">
        <f>IF(ISNUMBER(I15/B15),I15/B15," - ")</f>
        <v>421.25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340</v>
      </c>
      <c r="D17" s="404">
        <f>IF(ISNUMBER(C17/Datos!BH17),C17/Datos!BH17," - ")</f>
        <v>340</v>
      </c>
      <c r="E17" s="403">
        <f>IF(ISNUMBER(IF(D_I="SI",Datos!J17,Datos!J17+Datos!AD17)),IF(D_I="SI",Datos!J17,Datos!J17+Datos!AD17)," - ")</f>
        <v>292</v>
      </c>
      <c r="F17" s="404">
        <f>IF(ISNUMBER(E17/B17),E17/B17," - ")</f>
        <v>292</v>
      </c>
      <c r="G17" s="403">
        <f>IF(ISNUMBER(IF(D_I="SI",Datos!K17,Datos!K17+Datos!AE17)),IF(D_I="SI",Datos!K17,Datos!K17+Datos!AE17)," - ")</f>
        <v>329</v>
      </c>
      <c r="H17" s="404">
        <f>IF(ISNUMBER(G17/B17),G17/B17," - ")</f>
        <v>329</v>
      </c>
      <c r="I17" s="403">
        <f>IF(ISNUMBER(IF(D_I="SI",Datos!L17,Datos!L17+Datos!AF17)),IF(D_I="SI",Datos!L17,Datos!L17+Datos!AF17)," - ")</f>
        <v>303</v>
      </c>
      <c r="J17" s="404">
        <f>IF(ISNUMBER(I17/B17),I17/B17," - ")</f>
        <v>303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2173</v>
      </c>
      <c r="D18" s="850" t="str">
        <f>IF(ISNUMBER(C18/Datos!BI18),C18/Datos!BI18," - ")</f>
        <v xml:space="preserve"> - </v>
      </c>
      <c r="E18" s="849">
        <f>SUBTOTAL(9,E14:E17)</f>
        <v>2527</v>
      </c>
      <c r="F18" s="850">
        <f>IF(ISNUMBER(E18/B18),E18/B18," - ")</f>
        <v>505.4</v>
      </c>
      <c r="G18" s="849">
        <f>SUBTOTAL(9,G14:G17)</f>
        <v>2752</v>
      </c>
      <c r="H18" s="850">
        <f>IF(ISNUMBER(G18/B18),G18/B18," - ")</f>
        <v>550.4</v>
      </c>
      <c r="I18" s="849">
        <f>SUBTOTAL(9,I14:I17)</f>
        <v>1988</v>
      </c>
      <c r="J18" s="850">
        <f>IF(ISNUMBER(I18/B18),I18/B18," - ")</f>
        <v>397.6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10776</v>
      </c>
      <c r="D19" s="795" t="str">
        <f>IF(ISNUMBER(C19/Datos!BI19),C19/Datos!BI19," - ")</f>
        <v xml:space="preserve"> - </v>
      </c>
      <c r="E19" s="794">
        <f>SUBTOTAL(9,E9:E18)</f>
        <v>5058</v>
      </c>
      <c r="F19" s="795">
        <f>IF(ISNUMBER(E19/B19),E19/B19," - ")</f>
        <v>421.5</v>
      </c>
      <c r="G19" s="794">
        <f>SUBTOTAL(9,G9:G18)</f>
        <v>6609</v>
      </c>
      <c r="H19" s="795">
        <f>IF(ISNUMBER(G19/B19),G19/B19," - ")</f>
        <v>550.75</v>
      </c>
      <c r="I19" s="794">
        <f>SUBTOTAL(9,I9:I18)</f>
        <v>9299</v>
      </c>
      <c r="J19" s="795">
        <f>IF(ISNUMBER(I19/B19),I19/B19," - ")</f>
        <v>774.91666666666663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J7lRYlgAk1KMbv2VyrzE0F1vb15eFamZRDy+bWTGDdxyh/7emAbY7sfpOt9AB65SXeYF0qlpJhPco2wSRfxGg==" saltValue="7A+9B8hbyqR4cihYNFAS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JAEN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88</v>
      </c>
      <c r="G10" s="684">
        <f>IF(ISNUMBER(Datos!I10),Datos!I10," - ")</f>
        <v>88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85</v>
      </c>
      <c r="AC10" s="683" t="str">
        <f>IF(ISNUMBER(IF(D_I="SI",DatosP!K17,DatosP!K17+DatosP!AE17)),IF(D_I="SI",DatosP!K17,DatosP!K17+DatosP!AE17)," - ")</f>
        <v xml:space="preserve"> - </v>
      </c>
      <c r="AD10" s="685"/>
      <c r="AE10" s="685"/>
      <c r="AF10" s="688">
        <f>IF(ISNUMBER(Datos!L10),Datos!L10,"-")</f>
        <v>104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58</v>
      </c>
      <c r="AN10" s="690">
        <f>IF(ISNUMBER(Datos!BW10+DatosP!BW17),Datos!BW10+DatosP!BW17," - ")</f>
        <v>0</v>
      </c>
      <c r="AO10" s="691">
        <f>IF(ISNUMBER(Datos!BX10+DatosP!BX17),Datos!BX10+DatosP!BX17," - ")</f>
        <v>0</v>
      </c>
      <c r="AP10" s="693">
        <f>IF(ISNUMBER(((Datos!L10/Datos!K10)*11)/factor_trimestre),((Datos!L10/Datos!K10)*11)/factor_trimestre," - ")</f>
        <v>3.6705882352941184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88</v>
      </c>
      <c r="G13" s="938">
        <f t="shared" si="0"/>
        <v>88</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85</v>
      </c>
      <c r="AC13" s="939">
        <f t="shared" si="1"/>
        <v>0</v>
      </c>
      <c r="AD13" s="939">
        <f t="shared" si="1"/>
        <v>0</v>
      </c>
      <c r="AE13" s="939">
        <f t="shared" si="1"/>
        <v>0</v>
      </c>
      <c r="AF13" s="939">
        <f t="shared" si="1"/>
        <v>104</v>
      </c>
      <c r="AG13" s="939">
        <f t="shared" si="1"/>
        <v>0</v>
      </c>
      <c r="AH13" s="939">
        <f t="shared" si="1"/>
        <v>0</v>
      </c>
      <c r="AI13" s="939">
        <f t="shared" si="1"/>
        <v>0</v>
      </c>
      <c r="AJ13" s="939">
        <f t="shared" si="1"/>
        <v>0</v>
      </c>
      <c r="AK13" s="939">
        <f t="shared" si="1"/>
        <v>0</v>
      </c>
      <c r="AL13" s="939">
        <f t="shared" si="1"/>
        <v>23</v>
      </c>
      <c r="AM13" s="939">
        <f t="shared" si="1"/>
        <v>58</v>
      </c>
      <c r="AN13" s="939">
        <f t="shared" si="1"/>
        <v>0</v>
      </c>
      <c r="AO13" s="939">
        <f t="shared" si="1"/>
        <v>0</v>
      </c>
      <c r="AP13" s="944">
        <f>IF(ISNUMBER(((Datos!L13/Datos!K13)*11)/factor_trimestre),((Datos!L13/Datos!K13)*11)/factor_trimestre," - ")</f>
        <v>5.5977839335180057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-0.96590909090909094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2.1671511627906979</v>
      </c>
      <c r="AQ18" s="944">
        <f>IF(ISNUMBER(((Datos!M18/Datos!L18)*11)/factor_trimestre),((Datos!M18/Datos!L18)*11)/factor_trimestre," - ")</f>
        <v>0.41046277665995978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-8.5106382978723402E-2</v>
      </c>
      <c r="AW18" s="946">
        <f>IF(ISNUMBER((Datos!Q18-Datos!R18)/(Datos!S18-Datos!Q18+Datos!R18)),(Datos!Q18-Datos!R18)/(Datos!S18-Datos!Q18+Datos!R18)," - ")</f>
        <v>-9.5560253699788586E-2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88</v>
      </c>
      <c r="G19" s="951">
        <f t="shared" si="4"/>
        <v>88</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85</v>
      </c>
      <c r="AC19" s="957">
        <f t="shared" si="5"/>
        <v>0</v>
      </c>
      <c r="AD19" s="957">
        <f t="shared" si="5"/>
        <v>0</v>
      </c>
      <c r="AE19" s="957">
        <f t="shared" si="5"/>
        <v>0</v>
      </c>
      <c r="AF19" s="958">
        <f t="shared" si="5"/>
        <v>104</v>
      </c>
      <c r="AG19" s="958">
        <f t="shared" si="5"/>
        <v>0</v>
      </c>
      <c r="AH19" s="958">
        <f t="shared" si="5"/>
        <v>0</v>
      </c>
      <c r="AI19" s="958">
        <f t="shared" si="5"/>
        <v>0</v>
      </c>
      <c r="AJ19" s="959">
        <f t="shared" si="5"/>
        <v>0</v>
      </c>
      <c r="AK19" s="959">
        <f t="shared" si="5"/>
        <v>0</v>
      </c>
      <c r="AL19" s="951">
        <f t="shared" si="5"/>
        <v>23</v>
      </c>
      <c r="AM19" s="951">
        <f t="shared" si="5"/>
        <v>58</v>
      </c>
      <c r="AN19" s="951">
        <f t="shared" si="5"/>
        <v>0</v>
      </c>
      <c r="AO19" s="951">
        <f t="shared" si="5"/>
        <v>0</v>
      </c>
      <c r="AP19" s="951">
        <f>IF(ISNUMBER(((Datos!L19/Datos!K19)*11)/factor_trimestre),((Datos!L19/Datos!K19)*11)/factor_trimestre," - ")</f>
        <v>4.1138006916064134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-0.96590909090909094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4.209056453221624E-2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3.2041639575194445</v>
      </c>
      <c r="F21" s="736">
        <f>IF(ISNUMBER(STDEV(F8:F18)),STDEV(F8:F18),"-")</f>
        <v>50.806823688687061</v>
      </c>
      <c r="G21" s="737">
        <f>IF(ISNUMBER(STDEV(G8:G18)),STDEV(G8:G18),"-")</f>
        <v>50.806823688687061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49.074772881118186</v>
      </c>
      <c r="AC21" s="738">
        <f>IF(ISNUMBER(STDEV(AC8:AC18)),STDEV(AC8:AC18),"-")</f>
        <v>0</v>
      </c>
      <c r="AD21" s="741"/>
      <c r="AE21" s="741"/>
      <c r="AF21" s="741"/>
      <c r="AG21" s="741"/>
      <c r="AH21" s="741"/>
      <c r="AI21" s="741"/>
      <c r="AJ21" s="742">
        <f>IF(ISNUMBER(STDEV(AJ8:AJ18)),STDEV(AJ8:AJ18),"-")</f>
        <v>0</v>
      </c>
      <c r="AK21" s="744"/>
      <c r="AL21" s="736">
        <f>IF(ISNUMBER(STDEV(AL8:AL18)),STDEV(AL8:AL18),"-")</f>
        <v>13.279056191361391</v>
      </c>
      <c r="AM21" s="736"/>
      <c r="AN21" s="736">
        <f>IF(ISNUMBER(STDEV(AN8:AN18)),STDEV(AN8:AN18),"-")</f>
        <v>0</v>
      </c>
      <c r="AO21" s="742">
        <f>IF(ISNUMBER(STDEV(AO8:AO18)),STDEV(AO8:AO18),"-")</f>
        <v>0</v>
      </c>
      <c r="AP21" s="779">
        <f>IF(ISNUMBER(STDEV(AP8:AP18)),STDEV(AP8:AP18),"-")</f>
        <v>1.7196728127669318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QVIEj0nh/+w8ettTc0sDsc5cLgo9MU4KX6pM2kxEYxZ+tblIJCSfk8tCMjXEng7T47l9PHY4vNbZio5Hxz3+g==" saltValue="Xa3vmhXpRBK9nGUbKDUA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JAEN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lU6zBVNfW1I3gqEPvI4Z/4POQFpweRVi0mrjxX5eXcc4buCC+Z40rX00z9brMPf9VYFaSn01zgcYMyArb1wrw==" saltValue="yc+yNjPgk1BNXm6h8qmo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JAEN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931</v>
      </c>
      <c r="E9" s="404">
        <f t="shared" ref="E9:E13" si="0">IF(ISNUMBER(D9/B9),D9/B9," - ")</f>
        <v>186.2</v>
      </c>
      <c r="F9" s="403">
        <f>IF(ISNUMBER(Datos!N9),Datos!N9," - ")</f>
        <v>1008</v>
      </c>
      <c r="G9" s="404">
        <f t="shared" ref="G9:G13" si="1">IF(ISNUMBER(F9/B9),F9/B9," - ")</f>
        <v>201.6</v>
      </c>
      <c r="H9" s="403">
        <f>IF(ISNUMBER(Datos!O9),Datos!O9," - ")</f>
        <v>1312</v>
      </c>
      <c r="I9" s="404">
        <f>IF(ISNUMBER(H9/B9),H9/B9," - ")</f>
        <v>262.39999999999998</v>
      </c>
      <c r="BZ9" s="1186">
        <f>Datos!EZ9</f>
        <v>0</v>
      </c>
    </row>
    <row r="10" spans="1:78">
      <c r="A10" s="402" t="str">
        <f>Datos!A10</f>
        <v>Jdos. Violencia contra la mujer</v>
      </c>
      <c r="B10" s="427">
        <f>Datos!AO10</f>
        <v>1</v>
      </c>
      <c r="C10" s="410">
        <f>Datos!AQ10</f>
        <v>1</v>
      </c>
      <c r="D10" s="403">
        <f>IF(ISNUMBER(Datos!M10),Datos!M10," - ")</f>
        <v>23</v>
      </c>
      <c r="E10" s="404">
        <f>IF(ISNUMBER(D10/B10),D10/B10," - ")</f>
        <v>23</v>
      </c>
      <c r="F10" s="403">
        <f>IF(ISNUMBER(Datos!N10),Datos!N10," - ")</f>
        <v>58</v>
      </c>
      <c r="G10" s="404">
        <f>IF(ISNUMBER(F10/B10),F10/B10," - ")</f>
        <v>58</v>
      </c>
      <c r="H10" s="403">
        <f>IF(ISNUMBER(Datos!O10),Datos!O10," - ")</f>
        <v>13</v>
      </c>
      <c r="I10" s="404">
        <f t="shared" ref="I10:I12" si="2">IF(ISNUMBER(H10/B10),H10/B10," - ")</f>
        <v>13</v>
      </c>
      <c r="BZ10" s="1186">
        <f>Datos!EZ10</f>
        <v>0</v>
      </c>
    </row>
    <row r="11" spans="1:78">
      <c r="A11" s="402" t="str">
        <f>Datos!A11</f>
        <v xml:space="preserve">Jdos. Familia                                   </v>
      </c>
      <c r="B11" s="427">
        <f>Datos!AO11</f>
        <v>2</v>
      </c>
      <c r="C11" s="410">
        <f>Datos!AQ11</f>
        <v>2</v>
      </c>
      <c r="D11" s="403">
        <f>IF(ISNUMBER(Datos!M11),Datos!M11," - ")</f>
        <v>253</v>
      </c>
      <c r="E11" s="404">
        <f t="shared" si="0"/>
        <v>126.5</v>
      </c>
      <c r="F11" s="403">
        <f>IF(ISNUMBER(Datos!N11),Datos!N11," - ")</f>
        <v>327</v>
      </c>
      <c r="G11" s="404">
        <f t="shared" si="1"/>
        <v>163.5</v>
      </c>
      <c r="H11" s="403">
        <f>IF(ISNUMBER(Datos!O11),Datos!O11," - ")</f>
        <v>292</v>
      </c>
      <c r="I11" s="404">
        <f t="shared" si="2"/>
        <v>146</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1207</v>
      </c>
      <c r="E13" s="850">
        <f t="shared" si="0"/>
        <v>150.875</v>
      </c>
      <c r="F13" s="849">
        <f>SUBTOTAL(9,F9:F12)</f>
        <v>1393</v>
      </c>
      <c r="G13" s="850">
        <f t="shared" si="1"/>
        <v>174.125</v>
      </c>
      <c r="H13" s="849">
        <f>SUBTOTAL(9,H9:H12)</f>
        <v>1617</v>
      </c>
      <c r="I13" s="850">
        <f>IF(ISNUMBER(H13/B13),H13/B13," - ")</f>
        <v>202.125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265</v>
      </c>
      <c r="E15" s="404">
        <f t="shared" ref="E15:E18" si="3">IF(ISNUMBER(D15/B15),D15/B15," - ")</f>
        <v>66.25</v>
      </c>
      <c r="F15" s="403">
        <f>IF(ISNUMBER(Datos!N15),Datos!N15," - ")</f>
        <v>1398</v>
      </c>
      <c r="G15" s="404">
        <f t="shared" ref="G15:G18" si="4">IF(ISNUMBER(F15/B15),F15/B15," - ")</f>
        <v>349.5</v>
      </c>
      <c r="H15" s="403">
        <f>IF(ISNUMBER(Datos!O15),Datos!O15," - ")</f>
        <v>70</v>
      </c>
      <c r="I15" s="404">
        <f t="shared" ref="I15:I17" si="5">IF(ISNUMBER(H15/B15),H15/B15," - ")</f>
        <v>17.5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v>
      </c>
      <c r="E17" s="404">
        <f>IF(ISNUMBER(D17/B17),D17/B17," - ")</f>
        <v>7</v>
      </c>
      <c r="F17" s="403">
        <f>IF(ISNUMBER(Datos!N17),Datos!N17," - ")</f>
        <v>195</v>
      </c>
      <c r="G17" s="404">
        <f>IF(ISNUMBER(F17/B17),F17/B17," - ")</f>
        <v>195</v>
      </c>
      <c r="H17" s="403">
        <f>IF(ISNUMBER(Datos!O17),Datos!O17," - ")</f>
        <v>2</v>
      </c>
      <c r="I17" s="404">
        <f t="shared" si="5"/>
        <v>2</v>
      </c>
      <c r="BZ17" s="1186">
        <f>Datos!EZ17</f>
        <v>0</v>
      </c>
    </row>
    <row r="18" spans="1:78" ht="14.25" thickTop="1" thickBot="1">
      <c r="A18" s="848" t="str">
        <f>Datos!A18</f>
        <v>TOTAL</v>
      </c>
      <c r="B18" s="849">
        <f>Datos!AP18</f>
        <v>5</v>
      </c>
      <c r="C18" s="851">
        <f>Datos!AR18</f>
        <v>5</v>
      </c>
      <c r="D18" s="849">
        <f>SUBTOTAL(9,D15:D17)</f>
        <v>272</v>
      </c>
      <c r="E18" s="850">
        <f t="shared" si="3"/>
        <v>54.4</v>
      </c>
      <c r="F18" s="849">
        <f>SUBTOTAL(9,F15:F17)</f>
        <v>1593</v>
      </c>
      <c r="G18" s="850">
        <f t="shared" si="4"/>
        <v>318.60000000000002</v>
      </c>
      <c r="H18" s="849">
        <f>SUBTOTAL(9,H15:H17)</f>
        <v>72</v>
      </c>
      <c r="I18" s="850">
        <f>IF(ISNUMBER(H18/B18),H18/B18," - ")</f>
        <v>14.4</v>
      </c>
      <c r="BZ18" s="1186"/>
    </row>
    <row r="19" spans="1:78" ht="14.25" thickTop="1" thickBot="1">
      <c r="A19" s="793" t="str">
        <f>Datos!A19</f>
        <v>TOTAL JURISDICCIONES</v>
      </c>
      <c r="B19" s="794">
        <f>Datos!AP19</f>
        <v>12</v>
      </c>
      <c r="C19" s="794">
        <f>Datos!AR19</f>
        <v>12</v>
      </c>
      <c r="D19" s="794">
        <f>SUBTOTAL(9,D8:D18)</f>
        <v>1479</v>
      </c>
      <c r="E19" s="795">
        <f>IF(ISNUMBER(D19/B19),D19/B19," - ")</f>
        <v>123.25</v>
      </c>
      <c r="F19" s="794">
        <f>SUBTOTAL(9,F8:F18)</f>
        <v>2986</v>
      </c>
      <c r="G19" s="795">
        <f>IF(ISNUMBER(F19/B19),F19/B19," - ")</f>
        <v>248.83333333333334</v>
      </c>
      <c r="H19" s="794">
        <f>SUBTOTAL(9,H8:H18)</f>
        <v>1689</v>
      </c>
      <c r="I19" s="795">
        <f>IF(ISNUMBER(H19/B19),H19/B19," - ")</f>
        <v>140.75</v>
      </c>
    </row>
    <row r="22" spans="1:78">
      <c r="A22" s="391" t="str">
        <f>Criterios!A4</f>
        <v>Fecha Informe: 24 sep. 2025</v>
      </c>
    </row>
    <row r="27" spans="1:78">
      <c r="A27" s="414"/>
    </row>
  </sheetData>
  <sheetProtection algorithmName="SHA-512" hashValue="xogmGgGX80RwkTCteiVcf2Q/Ii6iVHWOipViHZS3zm1ehBaw04IOrhnolz2MhIMXHCZffZRjyVov8lJBq6/KgQ==" saltValue="uttfj9GiKzZtMyKVRYSE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JAEN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803</v>
      </c>
      <c r="C9" s="434">
        <f>IF(ISNUMBER(Datos!Q9),Datos!Q9," - ")</f>
        <v>434</v>
      </c>
      <c r="D9" s="408">
        <f>IF(ISNUMBER(Datos!R9),Datos!R9," - ")</f>
        <v>8720</v>
      </c>
    </row>
    <row r="10" spans="1:4">
      <c r="A10" s="402" t="str">
        <f>Datos!A10</f>
        <v>Jdos. Violencia contra la mujer</v>
      </c>
      <c r="B10" s="433">
        <f>IF(ISNUMBER(Datos!P10),Datos!P10," - ")</f>
        <v>10</v>
      </c>
      <c r="C10" s="434">
        <f>IF(ISNUMBER(Datos!Q10),Datos!Q10," - ")</f>
        <v>10</v>
      </c>
      <c r="D10" s="408">
        <f>IF(ISNUMBER(Datos!R10),Datos!R10," - ")</f>
        <v>53</v>
      </c>
    </row>
    <row r="11" spans="1:4">
      <c r="A11" s="402" t="str">
        <f>Datos!A11</f>
        <v xml:space="preserve">Jdos. Familia                                   </v>
      </c>
      <c r="B11" s="433">
        <f>IF(ISNUMBER(Datos!P11),Datos!P11," - ")</f>
        <v>134</v>
      </c>
      <c r="C11" s="434">
        <f>IF(ISNUMBER(Datos!Q11),Datos!Q11," - ")</f>
        <v>45</v>
      </c>
      <c r="D11" s="408">
        <f>IF(ISNUMBER(Datos!R11),Datos!R11," - ")</f>
        <v>1288</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947</v>
      </c>
      <c r="C13" s="853">
        <f>SUBTOTAL(9,C9:C12)</f>
        <v>489</v>
      </c>
      <c r="D13" s="851">
        <f>SUBTOTAL(9,D9:D12)</f>
        <v>10061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125</v>
      </c>
      <c r="C15" s="434">
        <f>IF(ISNUMBER(Datos!Q15),Datos!Q15," - ")</f>
        <v>159</v>
      </c>
      <c r="D15" s="408">
        <f>IF(ISNUMBER(Datos!R15),Datos!R15," - ")</f>
        <v>387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2</v>
      </c>
      <c r="D17" s="408">
        <f>IF(ISNUMBER(Datos!R17),Datos!R17," - ")</f>
        <v>0</v>
      </c>
    </row>
    <row r="18" spans="1:4" ht="14.25" thickTop="1" thickBot="1">
      <c r="A18" s="848" t="str">
        <f>Datos!A18</f>
        <v>TOTAL</v>
      </c>
      <c r="B18" s="849">
        <f>SUBTOTAL(9,B15:B17)</f>
        <v>125</v>
      </c>
      <c r="C18" s="853">
        <f>SUBTOTAL(9,C15:C17)</f>
        <v>161</v>
      </c>
      <c r="D18" s="851">
        <f>SUBTOTAL(9,D15:D17)</f>
        <v>387</v>
      </c>
    </row>
    <row r="19" spans="1:4" ht="16.5" customHeight="1" thickTop="1" thickBot="1">
      <c r="A19" s="793" t="str">
        <f>Datos!A19</f>
        <v>TOTAL JURISDICCIONES</v>
      </c>
      <c r="B19" s="798">
        <f>SUBTOTAL(9,B8:B18)</f>
        <v>1072</v>
      </c>
      <c r="C19" s="799">
        <f>SUBTOTAL(9,C8:C18)</f>
        <v>650</v>
      </c>
      <c r="D19" s="800">
        <f>SUBTOTAL(9,D8:D18)</f>
        <v>10448</v>
      </c>
    </row>
    <row r="20" spans="1:4" ht="7.5" customHeight="1"/>
    <row r="21" spans="1:4" ht="6" customHeight="1"/>
    <row r="22" spans="1:4">
      <c r="A22" s="391" t="str">
        <f>Criterios!A4</f>
        <v>Fecha Informe: 24 sep. 2025</v>
      </c>
    </row>
    <row r="27" spans="1:4">
      <c r="A27" s="414"/>
    </row>
  </sheetData>
  <sheetProtection algorithmName="SHA-512" hashValue="cfvqghcg8YEfSROdNlmjRQYZoWvdPSANHiqIKbOvR4J2H33jMIDr6EpsJ+AXmtUoBbK2yU+nSjVX8I+zWonwqA==" saltValue="v0pOUe8SLp1ufxnecEXU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JAEN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0.28833455612619224</v>
      </c>
      <c r="C9" s="456">
        <f>IF(ISNUMBER(
   IF(J_V="SI",(Datos!J9-Datos!T9)/Datos!T9,(Datos!J9+Datos!Z9-(Datos!T9+Datos!AH9))/(Datos!T9+Datos!AH9))
     ),IF(J_V="SI",(Datos!J9-Datos!T9)/Datos!T9,(Datos!J9+Datos!Z9-(Datos!T9+Datos!AH9))/(Datos!T9+Datos!AH9))," - ")</f>
        <v>-0.17584369449378331</v>
      </c>
      <c r="D9" s="456">
        <f>IF(ISNUMBER(
   IF(J_V="SI",(Datos!K9-Datos!U9)/Datos!U9,(Datos!K9+Datos!AA9-(Datos!U9+Datos!AI9))/(Datos!U9+Datos!AI9))
     ),IF(J_V="SI",(Datos!K9-Datos!U9)/Datos!U9,(Datos!K9+Datos!AA9-(Datos!U9+Datos!AI9))/(Datos!U9+Datos!AI9))," - ")</f>
        <v>0.13249331806032838</v>
      </c>
      <c r="E9" s="456">
        <f>IF(ISNUMBER(
   IF(J_V="SI",(Datos!L9-Datos!V9)/Datos!V9,(Datos!L9+Datos!AB9-(Datos!V9+Datos!AJ9))/(Datos!V9+Datos!AJ9))
     ),IF(J_V="SI",(Datos!L9-Datos!V9)/Datos!V9,(Datos!L9+Datos!AB9-(Datos!V9+Datos!AJ9))/(Datos!V9+Datos!AJ9))," - ")</f>
        <v>0.16991150442477876</v>
      </c>
      <c r="F9" s="456">
        <f>IF(ISNUMBER((Datos!M9-Datos!W9)/Datos!W9),(Datos!M9-Datos!W9)/Datos!W9," - ")</f>
        <v>9.0163934426229511E-2</v>
      </c>
      <c r="G9" s="457">
        <f>IF(ISNUMBER((Datos!N9-Datos!X9)/Datos!X9),(Datos!N9-Datos!X9)/Datos!X9," - ")</f>
        <v>0.42574257425742573</v>
      </c>
      <c r="H9" s="455">
        <f>IF(ISNUMBER(((NºAsuntos!G9/NºAsuntos!E9)-Datos!BD9)/Datos!BD9),((NºAsuntos!G9/NºAsuntos!E9)-Datos!BD9)/Datos!BD9," - ")</f>
        <v>0.37412443549130375</v>
      </c>
      <c r="I9" s="456">
        <f>IF(ISNUMBER(((NºAsuntos!I9/NºAsuntos!G9)-Datos!BE9)/Datos!BE9),((NºAsuntos!I9/NºAsuntos!G9)-Datos!BE9)/Datos!BE9," - ")</f>
        <v>3.3040536105359321E-2</v>
      </c>
      <c r="J9" s="461">
        <f>IF(ISNUMBER((('Resol  Asuntos'!D9/NºAsuntos!G9)-Datos!BF9)/Datos!BF9),(('Resol  Asuntos'!D9/NºAsuntos!G9)-Datos!BF9)/Datos!BF9," - ")</f>
        <v>0.16277214370122103</v>
      </c>
      <c r="K9" s="462">
        <f>IF(ISNUMBER((((NºAsuntos!C9+NºAsuntos!E9)/NºAsuntos!G9)-Datos!BG9)/Datos!BG9),(((NºAsuntos!C9+NºAsuntos!E9)/NºAsuntos!G9)-Datos!BG9)/Datos!BG9," - ")</f>
        <v>1.7796711641595402E-2</v>
      </c>
    </row>
    <row r="10" spans="1:11">
      <c r="A10" s="402" t="str">
        <f>Datos!A10</f>
        <v>Jdos. Violencia contra la mujer</v>
      </c>
      <c r="B10" s="455">
        <f>IF(ISNUMBER((Datos!I10-Datos!S10)/Datos!S10),(Datos!I10-Datos!S10)/Datos!S10," - ")</f>
        <v>-0.16981132075471697</v>
      </c>
      <c r="C10" s="456">
        <f>IF(ISNUMBER((Datos!J10-Datos!T10)/Datos!T10),(Datos!J10-Datos!T10)/Datos!T10," - ")</f>
        <v>0.53030303030303028</v>
      </c>
      <c r="D10" s="456">
        <f>IF(ISNUMBER((Datos!K10-Datos!U10)/Datos!U10),(Datos!K10-Datos!U10)/Datos!U10," - ")</f>
        <v>-2.2988505747126436E-2</v>
      </c>
      <c r="E10" s="456">
        <f>IF(ISNUMBER((Datos!L10-Datos!V10)/Datos!V10),(Datos!L10-Datos!V10)/Datos!V10," - ")</f>
        <v>0.22352941176470589</v>
      </c>
      <c r="F10" s="456">
        <f>IF(ISNUMBER((Datos!M10-Datos!W10)/Datos!W10),(Datos!M10-Datos!W10)/Datos!W10," - ")</f>
        <v>-0.11538461538461539</v>
      </c>
      <c r="G10" s="457">
        <f>IF(ISNUMBER((Datos!N10-Datos!X10)/Datos!X10),(Datos!N10-Datos!X10)/Datos!X10," - ")</f>
        <v>0.31818181818181818</v>
      </c>
      <c r="H10" s="455">
        <f>IF(ISNUMBER(((NºAsuntos!G10/NºAsuntos!E10)-Datos!BD10)/Datos!BD10),((NºAsuntos!G10/NºAsuntos!E10)-Datos!BD10)/Datos!BD10," - ")</f>
        <v>-0.36155684533970639</v>
      </c>
      <c r="I10" s="456">
        <f>IF(ISNUMBER(((NºAsuntos!I10/NºAsuntos!G10)-Datos!BE10)/Datos!BE10),((NºAsuntos!I10/NºAsuntos!G10)-Datos!BE10)/Datos!BE10," - ")</f>
        <v>0.25231833910034607</v>
      </c>
      <c r="J10" s="461">
        <f>IF(ISNUMBER((('Resol  Asuntos'!D10/NºAsuntos!G10)-Datos!BF10)/Datos!BF10),(('Resol  Asuntos'!D10/NºAsuntos!G10)-Datos!BF10)/Datos!BF10," - ")</f>
        <v>-9.4570135746606471E-2</v>
      </c>
      <c r="K10" s="462">
        <f>IF(ISNUMBER((((NºAsuntos!C10+NºAsuntos!E10)/NºAsuntos!G10)-Datos!BG10)/Datos!BG10),(((NºAsuntos!C10+NºAsuntos!E10)/NºAsuntos!G10)-Datos!BG10)/Datos!BG10," - ")</f>
        <v>0.12469220246238033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4.265734265734266E-2</v>
      </c>
      <c r="C11" s="456">
        <f>IF(ISNUMBER(
   IF(J_V="SI",(Datos!J11-Datos!T11)/Datos!T11,(Datos!J11+Datos!Z11-(Datos!T11+Datos!AH11))/(Datos!T11+Datos!AH11))
     ),IF(J_V="SI",(Datos!J11-Datos!T11)/Datos!T11,(Datos!J11+Datos!Z11-(Datos!T11+Datos!AH11))/(Datos!T11+Datos!AH11))," - ")</f>
        <v>-0.24770642201834864</v>
      </c>
      <c r="D11" s="456">
        <f>IF(ISNUMBER(
   IF(J_V="SI",(Datos!K11-Datos!U11)/Datos!U11,(Datos!K11+Datos!AA11-(Datos!U11+Datos!AI11))/(Datos!U11+Datos!AI11))
     ),IF(J_V="SI",(Datos!K11-Datos!U11)/Datos!U11,(Datos!K11+Datos!AA11-(Datos!U11+Datos!AI11))/(Datos!U11+Datos!AI11))," - ")</f>
        <v>8.47913862718708E-2</v>
      </c>
      <c r="E11" s="456">
        <f>IF(ISNUMBER(
   IF(J_V="SI",(Datos!L11-Datos!V11)/Datos!V11,(Datos!L11+Datos!AB11-(Datos!V11+Datos!AJ11))/(Datos!V11+Datos!AJ11))
     ),IF(J_V="SI",(Datos!L11-Datos!V11)/Datos!V11,(Datos!L11+Datos!AB11-(Datos!V11+Datos!AJ11))/(Datos!V11+Datos!AJ11))," - ")</f>
        <v>-0.13301171605789111</v>
      </c>
      <c r="F11" s="456">
        <f>IF(ISNUMBER((Datos!M11-Datos!W11)/Datos!W11),(Datos!M11-Datos!W11)/Datos!W11," - ")</f>
        <v>1.6064257028112448E-2</v>
      </c>
      <c r="G11" s="457">
        <f>IF(ISNUMBER((Datos!N11-Datos!X11)/Datos!X11),(Datos!N11-Datos!X11)/Datos!X11," - ")</f>
        <v>5.8252427184466021E-2</v>
      </c>
      <c r="H11" s="455">
        <f>IF(ISNUMBER(((NºAsuntos!G11/NºAsuntos!E11)-Datos!BD11)/Datos!BD11),((NºAsuntos!G11/NºAsuntos!E11)-Datos!BD11)/Datos!BD11," - ")</f>
        <v>0.44197879394675516</v>
      </c>
      <c r="I11" s="456">
        <f>IF(ISNUMBER(((NºAsuntos!I11/NºAsuntos!G11)-Datos!BE11)/Datos!BE11),((NºAsuntos!I11/NºAsuntos!G11)-Datos!BE11)/Datos!BE11," - ")</f>
        <v>-0.20077879036105845</v>
      </c>
      <c r="J11" s="461">
        <f>IF(ISNUMBER((('Resol  Asuntos'!D11/NºAsuntos!G11)-Datos!BF11)/Datos!BF11),(('Resol  Asuntos'!D11/NºAsuntos!G11)-Datos!BF11)/Datos!BF11," - ")</f>
        <v>-0.24522794253455066</v>
      </c>
      <c r="K11" s="462">
        <f>IF(ISNUMBER((((NºAsuntos!C11+NºAsuntos!E11)/NºAsuntos!G11)-Datos!BG11)/Datos!BG11),(((NºAsuntos!C11+NºAsuntos!E11)/NºAsuntos!G11)-Datos!BG11)/Datos!BG11," - ")</f>
        <v>-0.13196907824241136</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0.23111047510017171</v>
      </c>
      <c r="C13" s="855">
        <f>IF(ISNUMBER(
   IF(J_V="SI",(Datos!J13-Datos!T13)/Datos!T13,(Datos!J13+Datos!Z13-(Datos!T13+Datos!AH13))/(Datos!T13+Datos!AH13))
     ),IF(J_V="SI",(Datos!J13-Datos!T13)/Datos!T13,(Datos!J13+Datos!Z13-(Datos!T13+Datos!AH13))/(Datos!T13+Datos!AH13))," - ")</f>
        <v>-0.17851346965271017</v>
      </c>
      <c r="D13" s="855">
        <f>IF(ISNUMBER(
   IF(J_V="SI",(Datos!K13-Datos!U13)/Datos!U13,(Datos!K13+Datos!AA13-(Datos!U13+Datos!AI13))/(Datos!U13+Datos!AI13))
     ),IF(J_V="SI",(Datos!K13-Datos!U13)/Datos!U13,(Datos!K13+Datos!AA13-(Datos!U13+Datos!AI13))/(Datos!U13+Datos!AI13))," - ")</f>
        <v>0.11829515801681646</v>
      </c>
      <c r="E13" s="855">
        <f>IF(ISNUMBER(
   IF(J_V="SI",(Datos!L13-Datos!V13)/Datos!V13,(Datos!L13+Datos!AB13-(Datos!V13+Datos!AJ13))/(Datos!V13+Datos!AJ13))
     ),IF(J_V="SI",(Datos!L13-Datos!V13)/Datos!V13,(Datos!L13+Datos!AB13-(Datos!V13+Datos!AJ13))/(Datos!V13+Datos!AJ13))," - ")</f>
        <v>0.1042138649750793</v>
      </c>
      <c r="F13" s="856">
        <f>IF(ISNUMBER((Datos!M13-Datos!W13)/Datos!W13),(Datos!M13-Datos!W13)/Datos!W13," - ")</f>
        <v>6.9087688219663421E-2</v>
      </c>
      <c r="G13" s="857">
        <f>IF(ISNUMBER((Datos!N13-Datos!X13)/Datos!X13),(Datos!N13-Datos!X13)/Datos!X13," - ")</f>
        <v>0.3141509433962264</v>
      </c>
      <c r="H13" s="857">
        <f>IF(ISNUMBER(((NºAsuntos!G13/NºAsuntos!E13)-Datos!BD13)/Datos!BD13),((NºAsuntos!G13/NºAsuntos!E13)-Datos!BD13)/Datos!BD13," - ")</f>
        <v>0.3613067490516837</v>
      </c>
      <c r="I13" s="857">
        <f>IF(ISNUMBER(((NºAsuntos!I13/NºAsuntos!G13)-Datos!BE13)/Datos!BE13),((NºAsuntos!I13/NºAsuntos!G13)-Datos!BE13)/Datos!BE13," - ")</f>
        <v>-1.2591749987283241E-2</v>
      </c>
      <c r="J13" s="857">
        <f>IF(ISNUMBER((('Resol  Asuntos'!D13/NºAsuntos!G13)-Datos!BF13)/Datos!BF13),(('Resol  Asuntos'!D13/NºAsuntos!G13)-Datos!BF13)/Datos!BF13," - ")</f>
        <v>3.581717215800774E-2</v>
      </c>
      <c r="K13" s="857">
        <f>IF(ISNUMBER((((NºAsuntos!C13+NºAsuntos!E13)/NºAsuntos!G13)-Datos!BG13)/Datos!BG13),(((NºAsuntos!C13+NºAsuntos!E13)/NºAsuntos!G13)-Datos!BG13)/Datos!BG13," - ")</f>
        <v>-1.1200059490990009E-2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4.3835616438356161E-3</v>
      </c>
      <c r="C15" s="456">
        <f>IF(ISNUMBER(
   IF(D_I="SI",(Datos!J15-Datos!T15)/Datos!T15,(Datos!J15+Datos!AD15-(Datos!T15+Datos!AL15))/(Datos!T15+Datos!AL15))
     ),IF(D_I="SI",(Datos!J15-Datos!T15)/Datos!T15,(Datos!J15+Datos!AD15-(Datos!T15+Datos!AL15))/(Datos!T15+Datos!AL15))," - ")</f>
        <v>-0.16040570999248685</v>
      </c>
      <c r="D15" s="456">
        <f>IF(ISNUMBER(
   IF(D_I="SI",(Datos!K15-Datos!U15)/Datos!U15,(Datos!K15+Datos!AE15-(Datos!U15+Datos!AM15))/(Datos!U15+Datos!AM15))
     ),IF(D_I="SI",(Datos!K15-Datos!U15)/Datos!U15,(Datos!K15+Datos!AE15-(Datos!U15+Datos!AM15))/(Datos!U15+Datos!AM15))," - ")</f>
        <v>-8.4278155706727129E-2</v>
      </c>
      <c r="E15" s="456">
        <f>IF(ISNUMBER(
   IF(D_I="SI",(Datos!L15-Datos!V15)/Datos!V15,(Datos!L15+Datos!AF15-(Datos!V15+Datos!AN15))/(Datos!V15+Datos!AN15))
     ),IF(D_I="SI",(Datos!L15-Datos!V15)/Datos!V15,(Datos!L15+Datos!AF15-(Datos!V15+Datos!AN15))/(Datos!V15+Datos!AN15))," - ")</f>
        <v>-9.1154261057173683E-2</v>
      </c>
      <c r="F15" s="456">
        <f>IF(ISNUMBER((Datos!M15-Datos!W15)/Datos!W15),(Datos!M15-Datos!W15)/Datos!W15," - ")</f>
        <v>-0.29144385026737968</v>
      </c>
      <c r="G15" s="457">
        <f>IF(ISNUMBER((Datos!N15-Datos!X15)/Datos!X15),(Datos!N15-Datos!X15)/Datos!X15," - ")</f>
        <v>-0.1365040148239654</v>
      </c>
      <c r="H15" s="455">
        <f>IF(ISNUMBER(((NºAsuntos!G15/NºAsuntos!E15)-Datos!BD15)/Datos!BD15),((NºAsuntos!G15/NºAsuntos!E15)-Datos!BD15)/Datos!BD15," - ")</f>
        <v>9.0671834232077073E-2</v>
      </c>
      <c r="I15" s="456">
        <f>IF(ISNUMBER(((NºAsuntos!I15/NºAsuntos!G15)-Datos!BE15)/Datos!BE15),((NºAsuntos!I15/NºAsuntos!G15)-Datos!BE15)/Datos!BE15," - ")</f>
        <v>-7.5089454219073905E-3</v>
      </c>
      <c r="J15" s="461">
        <f>IF(ISNUMBER((('Resol  Asuntos'!D15/NºAsuntos!G15)-Datos!BF15)/Datos!BF15),(('Resol  Asuntos'!D15/NºAsuntos!G15)-Datos!BF15)/Datos!BF15," - ")</f>
        <v>-0.22623212043230989</v>
      </c>
      <c r="K15" s="462">
        <f>IF(ISNUMBER((((NºAsuntos!C15+NºAsuntos!E15)/NºAsuntos!G15)-Datos!BG15)/Datos!BG15),(((NºAsuntos!C15+NºAsuntos!E15)/NºAsuntos!G15)-Datos!BG15)/Datos!BG15," - ")</f>
        <v>-9.9404884160698512E-3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8.2802547770700632E-2</v>
      </c>
      <c r="C17" s="456">
        <f>IF(ISNUMBER(
   IF(D_I="SI",(Datos!J17-Datos!T17)/Datos!T17,(Datos!J17+Datos!AD17-(Datos!T17+Datos!AL17))/(Datos!T17+Datos!AL17))
     ),IF(D_I="SI",(Datos!J17-Datos!T17)/Datos!T17,(Datos!J17+Datos!AD17-(Datos!T17+Datos!AL17))/(Datos!T17+Datos!AL17))," - ")</f>
        <v>0.11026615969581749</v>
      </c>
      <c r="D17" s="456">
        <f>IF(ISNUMBER(
   IF(D_I="SI",(Datos!K17-Datos!U17)/Datos!U17,(Datos!K17+Datos!AE17-(Datos!U17+Datos!AM17))/(Datos!U17+Datos!AM17))
     ),IF(D_I="SI",(Datos!K17-Datos!U17)/Datos!U17,(Datos!K17+Datos!AE17-(Datos!U17+Datos!AM17))/(Datos!U17+Datos!AM17))," - ")</f>
        <v>-1.4970059880239521E-2</v>
      </c>
      <c r="E17" s="456">
        <f>IF(ISNUMBER(
   IF(D_I="SI",(Datos!L17-Datos!V17)/Datos!V17,(Datos!L17+Datos!AF17-(Datos!V17+Datos!AN17))/(Datos!V17+Datos!AN17))
     ),IF(D_I="SI",(Datos!L17-Datos!V17)/Datos!V17,(Datos!L17+Datos!AF17-(Datos!V17+Datos!AN17))/(Datos!V17+Datos!AN17))," - ")</f>
        <v>0.24180327868852458</v>
      </c>
      <c r="F17" s="456">
        <f>IF(ISNUMBER((Datos!M17-Datos!W17)/Datos!W17),(Datos!M17-Datos!W17)/Datos!W17," - ")</f>
        <v>-0.61111111111111116</v>
      </c>
      <c r="G17" s="457">
        <f>IF(ISNUMBER((Datos!N17-Datos!X17)/Datos!X17),(Datos!N17-Datos!X17)/Datos!X17," - ")</f>
        <v>0.21875</v>
      </c>
      <c r="H17" s="455">
        <f>IF(ISNUMBER(((NºAsuntos!G17/NºAsuntos!E17)-Datos!BD17)/Datos!BD17),((NºAsuntos!G17/NºAsuntos!E17)-Datos!BD17)/Datos!BD17," - ")</f>
        <v>-0.11279837585103768</v>
      </c>
      <c r="I17" s="456">
        <f>IF(ISNUMBER(((NºAsuntos!I17/NºAsuntos!G17)-Datos!BE17)/Datos!BE17),((NºAsuntos!I17/NºAsuntos!G17)-Datos!BE17)/Datos!BE17," - ")</f>
        <v>0.26067566894214966</v>
      </c>
      <c r="J17" s="461">
        <f>IF(ISNUMBER((('Resol  Asuntos'!D17/NºAsuntos!G17)-Datos!BF17)/Datos!BF17),(('Resol  Asuntos'!D17/NºAsuntos!G17)-Datos!BF17)/Datos!BF17," - ")</f>
        <v>-0.60520094562647764</v>
      </c>
      <c r="K17" s="462">
        <f>IF(ISNUMBER((((NºAsuntos!C17+NºAsuntos!E17)/NºAsuntos!G17)-Datos!BG17)/Datos!BG17),(((NºAsuntos!C17+NºAsuntos!E17)/NºAsuntos!G17)-Datos!BG17)/Datos!BG17," - ")</f>
        <v>0.11196683400673224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1.5895278167367927E-2</v>
      </c>
      <c r="C18" s="855">
        <f>IF(ISNUMBER(
   IF(Criterios!B14="SI",(Datos!J18-Datos!T18)/Datos!T18,(Datos!J18+Datos!AD18-(Datos!T18+Datos!AL18))/(Datos!T18+Datos!AL18))
     ),IF(Criterios!B14="SI",(Datos!J18-Datos!T18)/Datos!T18,(Datos!J18+Datos!AD18-(Datos!T18+Datos!AL18))/(Datos!T18+Datos!AL18))," - ")</f>
        <v>-0.13606837606837607</v>
      </c>
      <c r="D18" s="855">
        <f>IF(ISNUMBER(
   IF(Criterios!B14="SI",(Datos!K18-Datos!U18)/Datos!U18,(Datos!K18+Datos!AE18-(Datos!U18+Datos!AM18))/(Datos!U18+Datos!AM18))
     ),IF(Criterios!B14="SI",(Datos!K18-Datos!U18)/Datos!U18,(Datos!K18+Datos!AE18-(Datos!U18+Datos!AM18))/(Datos!U18+Datos!AM18))," - ")</f>
        <v>-7.6510067114093958E-2</v>
      </c>
      <c r="E18" s="855">
        <f>IF(ISNUMBER(
   IF(Criterios!B14="SI",(Datos!L18-Datos!V18)/Datos!V18,(Datos!L18+Datos!AF18-(Datos!V18+Datos!AN18))/(Datos!V18+Datos!AN18))
     ),IF(Criterios!B14="SI",(Datos!L18-Datos!V18)/Datos!V18,(Datos!L18+Datos!AF18-(Datos!V18+Datos!AN18))/(Datos!V18+Datos!AN18))," - ")</f>
        <v>-5.2430886558627265E-2</v>
      </c>
      <c r="F18" s="856">
        <f>IF(ISNUMBER((Datos!M18-Datos!W18)/Datos!W18),(Datos!M18-Datos!W18)/Datos!W18," - ")</f>
        <v>-0.30612244897959184</v>
      </c>
      <c r="G18" s="857">
        <f>IF(ISNUMBER((Datos!N18-Datos!X18)/Datos!X18),(Datos!N18-Datos!X18)/Datos!X18," - ")</f>
        <v>-0.1045531197301855</v>
      </c>
      <c r="H18" s="857">
        <f>IF(ISNUMBER(((NºAsuntos!G18/NºAsuntos!E18)-Datos!BD18)/Datos!BD18),((NºAsuntos!G18/NºAsuntos!E18)-Datos!BD18)/Datos!BD18," - ")</f>
        <v>6.8938683692629718E-2</v>
      </c>
      <c r="I18" s="857">
        <f>IF(ISNUMBER(((NºAsuntos!I18/NºAsuntos!G18)-Datos!BE18)/Datos!BE18),((NºAsuntos!I18/NºAsuntos!G18)-Datos!BE18)/Datos!BE18," - ")</f>
        <v>2.6074112665439894E-2</v>
      </c>
      <c r="J18" s="857">
        <f>IF(ISNUMBER((('Resol  Asuntos'!D18/NºAsuntos!G18)-Datos!BF18)/Datos!BF18),(('Resol  Asuntos'!D18/NºAsuntos!G18)-Datos!BF18)/Datos!BF18," - ")</f>
        <v>-0.24863550071191268</v>
      </c>
      <c r="K18" s="857">
        <f>IF(ISNUMBER((((NºAsuntos!C18+NºAsuntos!E18)/NºAsuntos!G18)-Datos!BG18)/Datos!BG18),(((NºAsuntos!C18+NºAsuntos!E18)/NºAsuntos!G18)-Datos!BG18)/Datos!BG18," - ")</f>
        <v>5.0137312171644553E-3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0.18067272926481867</v>
      </c>
      <c r="C19" s="802">
        <f>IF(ISNUMBER(
   IF(J_V="SI",(Datos!J19-Datos!T19)/Datos!T19,(Datos!J19+Datos!Z19-(Datos!T19+Datos!AH19))/(Datos!T19+Datos!AH19))
     ),IF(J_V="SI",(Datos!J19-Datos!T19)/Datos!T19,(Datos!J19+Datos!Z19-(Datos!T19+Datos!AH19))/(Datos!T19+Datos!AH19))," - ")</f>
        <v>-0.15784215784215785</v>
      </c>
      <c r="D19" s="802">
        <f>IF(ISNUMBER(
   IF(J_V="SI",(Datos!K19-Datos!U19)/Datos!U19,(Datos!K19+Datos!AA19-(Datos!U19+Datos!AI19))/(Datos!U19+Datos!AI19))
     ),IF(J_V="SI",(Datos!K19-Datos!U19)/Datos!U19,(Datos!K19+Datos!AA19-(Datos!U19+Datos!AI19))/(Datos!U19+Datos!AI19))," - ")</f>
        <v>2.7998133457769483E-2</v>
      </c>
      <c r="E19" s="802">
        <f>IF(ISNUMBER(
   IF(J_V="SI",(Datos!L19-Datos!V19)/Datos!V19,(Datos!L19+Datos!AB19-(Datos!V19+Datos!AJ19))/(Datos!V19+Datos!AJ19))
     ),IF(J_V="SI",(Datos!L19-Datos!V19)/Datos!V19,(Datos!L19+Datos!AB19-(Datos!V19+Datos!AJ19))/(Datos!V19+Datos!AJ19))," - ")</f>
        <v>6.6521390067668315E-2</v>
      </c>
      <c r="F19" s="803">
        <f>IF(ISNUMBER((Datos!M19-Datos!W19)/Datos!W19),(Datos!M19-Datos!W19)/Datos!W19," - ")</f>
        <v>-2.7613412228796843E-2</v>
      </c>
      <c r="G19" s="804">
        <f>IF(ISNUMBER((Datos!N19-Datos!X19)/Datos!X19),(Datos!N19-Datos!X19)/Datos!X19," - ")</f>
        <v>5.1778795350475519E-2</v>
      </c>
      <c r="H19" s="805">
        <f>IF(ISNUMBER((Tasas!B19-Datos!BD19)/Datos!BD19),(Tasas!B19-Datos!BD19)/Datos!BD19," - ")</f>
        <v>0.22067156772387592</v>
      </c>
      <c r="I19" s="806">
        <f>IF(ISNUMBER((Tasas!C19-Datos!BE19)/Datos!BE19),(Tasas!C19-Datos!BE19)/Datos!BE19," - ")</f>
        <v>3.7474053070818532E-2</v>
      </c>
      <c r="J19" s="807">
        <f>IF(ISNUMBER((Tasas!D19-Datos!BF19)/Datos!BF19),(Tasas!D19-Datos!BF19)/Datos!BF19," - ")</f>
        <v>3.2904920448912234E-3</v>
      </c>
      <c r="K19" s="807">
        <f>IF(ISNUMBER((Tasas!E19-Datos!BG19)/Datos!BG19),(Tasas!E19-Datos!BG19)/Datos!BG19," - ")</f>
        <v>1.7825394979464608E-2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84PAxyz2SB7tWv8P9loiykiiOejdzeOX+aStVFxZa90/r+i++mWeHKeZH0nFPzNoUt+h41tBEPrpyJBraJSTQ==" saltValue="YxtS5WkZfG3GNcN/7/4S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JAEN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1.5980603448275863</v>
      </c>
      <c r="C9" s="443">
        <f>IF(ISNUMBER(NºAsuntos!I9/NºAsuntos!G9),NºAsuntos!I9/NºAsuntos!G9," - ")</f>
        <v>2.0057316250842887</v>
      </c>
      <c r="D9" s="444">
        <f>IF(ISNUMBER('Resol  Asuntos'!D9/NºAsuntos!G9),'Resol  Asuntos'!D9/NºAsuntos!G9," - ")</f>
        <v>0.3138907619689818</v>
      </c>
      <c r="E9" s="445">
        <f>IF(ISNUMBER((NºAsuntos!C9+NºAsuntos!E9)/NºAsuntos!G9),(NºAsuntos!C9+NºAsuntos!E9)/NºAsuntos!G9," - ")</f>
        <v>2.9939312204989887</v>
      </c>
      <c r="G9" s="463"/>
    </row>
    <row r="10" spans="1:7">
      <c r="A10" s="402" t="str">
        <f>Datos!A10</f>
        <v>Jdos. Violencia contra la mujer</v>
      </c>
      <c r="B10" s="442">
        <f>IF(ISNUMBER(NºAsuntos!G10/NºAsuntos!E10),NºAsuntos!G10/NºAsuntos!E10," - ")</f>
        <v>0.84158415841584155</v>
      </c>
      <c r="C10" s="443">
        <f>IF(ISNUMBER(NºAsuntos!I10/NºAsuntos!G10),NºAsuntos!I10/NºAsuntos!G10," - ")</f>
        <v>1.223529411764706</v>
      </c>
      <c r="D10" s="444">
        <f>IF(ISNUMBER('Resol  Asuntos'!D10/NºAsuntos!G10),'Resol  Asuntos'!D10/NºAsuntos!G10," - ")</f>
        <v>0.27058823529411763</v>
      </c>
      <c r="E10" s="445">
        <f>IF(ISNUMBER((NºAsuntos!C10+NºAsuntos!E10)/NºAsuntos!G10),(NºAsuntos!C10+NºAsuntos!E10)/NºAsuntos!G10," - ")</f>
        <v>2.223529411764706</v>
      </c>
      <c r="G10" s="463"/>
    </row>
    <row r="11" spans="1:7">
      <c r="A11" s="402" t="str">
        <f>Datos!A11</f>
        <v xml:space="preserve">Jdos. Familia                                   </v>
      </c>
      <c r="B11" s="442">
        <f>IF(ISNUMBER(NºAsuntos!G11/NºAsuntos!E11),NºAsuntos!G11/NºAsuntos!E11," - ")</f>
        <v>1.4041811846689896</v>
      </c>
      <c r="C11" s="443">
        <f>IF(ISNUMBER(NºAsuntos!I11/NºAsuntos!G11),NºAsuntos!I11/NºAsuntos!G11," - ")</f>
        <v>1.5607940446650124</v>
      </c>
      <c r="D11" s="444">
        <f>IF(ISNUMBER('Resol  Asuntos'!D11/NºAsuntos!G11),'Resol  Asuntos'!D11/NºAsuntos!G11," - ")</f>
        <v>0.31389578163771714</v>
      </c>
      <c r="E11" s="445">
        <f>IF(ISNUMBER((NºAsuntos!C11+NºAsuntos!E11)/NºAsuntos!G11),(NºAsuntos!C11+NºAsuntos!E11)/NºAsuntos!G11," - ")</f>
        <v>2.5620347394540941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1.5239035954168314</v>
      </c>
      <c r="C13" s="859">
        <f>IF(ISNUMBER(NºAsuntos!I13/NºAsuntos!G13),NºAsuntos!I13/NºAsuntos!G13," - ")</f>
        <v>1.8955146486906922</v>
      </c>
      <c r="D13" s="860">
        <f>IF(ISNUMBER('Resol  Asuntos'!D13/NºAsuntos!G13),'Resol  Asuntos'!D13/NºAsuntos!G13," - ")</f>
        <v>0.31293751620430388</v>
      </c>
      <c r="E13" s="861">
        <f>IF(ISNUMBER((NºAsuntos!C13+NºAsuntos!E13)/NºAsuntos!G13),(NºAsuntos!C13+NºAsuntos!E13)/NºAsuntos!G13," - ")</f>
        <v>2.8866995073891624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1.0841163310961968</v>
      </c>
      <c r="C15" s="443">
        <f>IF(ISNUMBER(NºAsuntos!I15/NºAsuntos!G15),NºAsuntos!I15/NºAsuntos!G15," - ")</f>
        <v>0.69541890218737101</v>
      </c>
      <c r="D15" s="444">
        <f>IF(ISNUMBER('Resol  Asuntos'!D15/NºAsuntos!G15),'Resol  Asuntos'!D15/NºAsuntos!G15," - ")</f>
        <v>0.10936855138258357</v>
      </c>
      <c r="E15" s="445">
        <f>IF(ISNUMBER((NºAsuntos!C15+NºAsuntos!E15)/NºAsuntos!G15),(NºAsuntos!C15+NºAsuntos!E15)/NºAsuntos!G15," - ")</f>
        <v>1.6789104416013207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1.1267123287671232</v>
      </c>
      <c r="C17" s="443">
        <f>IF(ISNUMBER(NºAsuntos!I17/NºAsuntos!G17),NºAsuntos!I17/NºAsuntos!G17," - ")</f>
        <v>0.92097264437689974</v>
      </c>
      <c r="D17" s="444">
        <f>IF(ISNUMBER('Resol  Asuntos'!D17/NºAsuntos!G17),'Resol  Asuntos'!D17/NºAsuntos!G17," - ")</f>
        <v>2.1276595744680851E-2</v>
      </c>
      <c r="E17" s="445">
        <f>IF(ISNUMBER((NºAsuntos!C17+NºAsuntos!E17)/NºAsuntos!G17),(NºAsuntos!C17+NºAsuntos!E17)/NºAsuntos!G17," - ")</f>
        <v>1.9209726443768997</v>
      </c>
      <c r="G17" s="463"/>
    </row>
    <row r="18" spans="1:7" ht="14.25" thickTop="1" thickBot="1">
      <c r="A18" s="848" t="str">
        <f>Datos!A18</f>
        <v>TOTAL</v>
      </c>
      <c r="B18" s="858">
        <f>IF(ISNUMBER(NºAsuntos!G18/NºAsuntos!E18),NºAsuntos!G18/NºAsuntos!E18," - ")</f>
        <v>1.0890383854372774</v>
      </c>
      <c r="C18" s="859">
        <f>IF(ISNUMBER(NºAsuntos!I18/NºAsuntos!G18),NºAsuntos!I18/NºAsuntos!G18," - ")</f>
        <v>0.72238372093023251</v>
      </c>
      <c r="D18" s="862">
        <f>IF(ISNUMBER('Resol  Asuntos'!D18/NºAsuntos!G18),'Resol  Asuntos'!D18/NºAsuntos!G18," - ")</f>
        <v>9.8837209302325577E-2</v>
      </c>
      <c r="E18" s="861">
        <f>IF(ISNUMBER((NºAsuntos!C18+NºAsuntos!E18)/NºAsuntos!G18),(NºAsuntos!C18+NºAsuntos!E18)/NºAsuntos!G18," - ")</f>
        <v>1.7078488372093024</v>
      </c>
      <c r="G18" s="463"/>
    </row>
    <row r="19" spans="1:7" ht="15.75" customHeight="1" thickTop="1" thickBot="1">
      <c r="A19" s="793" t="str">
        <f>Datos!A19</f>
        <v>TOTAL JURISDICCIONES</v>
      </c>
      <c r="B19" s="808">
        <f>IF(ISNUMBER(NºAsuntos!G19/NºAsuntos!E19),NºAsuntos!G19/NºAsuntos!E19," - ")</f>
        <v>1.3066429418742587</v>
      </c>
      <c r="C19" s="809">
        <f>IF(ISNUMBER(NºAsuntos!I19/NºAsuntos!G19),NºAsuntos!I19/NºAsuntos!G19," - ")</f>
        <v>1.4070207293085186</v>
      </c>
      <c r="D19" s="810">
        <f>IF(ISNUMBER('Resol  Asuntos'!D19/NºAsuntos!G19),'Resol  Asuntos'!D19/NºAsuntos!G19," - ")</f>
        <v>0.22378574670903315</v>
      </c>
      <c r="E19" s="811">
        <f>IF(ISNUMBER((NºAsuntos!C19+NºAsuntos!E19)/NºAsuntos!G19),(NºAsuntos!C19+NºAsuntos!E19)/NºAsuntos!G19," - ")</f>
        <v>2.3958238765320017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Wj5E4pi9n9dWtJC+AlVWny6+XBNxNBB7NbTOKtaS3LqAiyG1lZlzKSjR955IpmvFUn4pWqTY6lKWcw2w6JaCQ==" saltValue="h+Yg4omDwW6rigsFRWll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JAEN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803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434</v>
      </c>
      <c r="Y9" s="334">
        <f>SUM(W9:X9)</f>
        <v>434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8720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931</v>
      </c>
      <c r="AJ9" s="229" t="str">
        <f>IF(ISNUMBER(Datos!BW9),Datos!BW9," - ")</f>
        <v xml:space="preserve"> - </v>
      </c>
      <c r="AK9" s="228" t="str">
        <f>IF(ISNUMBER(Datos!BX9),Datos!BX9," - ")</f>
        <v xml:space="preserve"> - </v>
      </c>
      <c r="AL9" s="243">
        <f>IF(ISNUMBER(NºAsuntos!G9/NºAsuntos!E9),NºAsuntos!G9/NºAsuntos!E9," - ")</f>
        <v>1.5980603448275863</v>
      </c>
      <c r="AM9" s="260">
        <f>IF(ISNUMBER(((NºAsuntos!I9/NºAsuntos!G9)*11)/factor_trimestre),((NºAsuntos!I9/NºAsuntos!G9)*11)/factor_trimestre," - ")</f>
        <v>6.0171948752528666</v>
      </c>
      <c r="AN9" s="244">
        <f>IF(ISNUMBER('Resol  Asuntos'!D9/NºAsuntos!G9),'Resol  Asuntos'!D9/NºAsuntos!G9," - ")</f>
        <v>0.3138907619689818</v>
      </c>
      <c r="AO9" s="245">
        <f>IF(ISNUMBER((NºAsuntos!C9+NºAsuntos!E9)/NºAsuntos!G9),(NºAsuntos!C9+NºAsuntos!E9)/NºAsuntos!G9," - ")</f>
        <v>2.9939312204989887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88</v>
      </c>
      <c r="G10" s="333">
        <f>IF(ISNUMBER(Datos!I10),Datos!I10," - ")</f>
        <v>88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85</v>
      </c>
      <c r="X10" s="226">
        <f>IF(ISNUMBER(Datos!Q10),Datos!Q10," - ")</f>
        <v>10</v>
      </c>
      <c r="Y10" s="334">
        <f t="shared" ref="Y10:Y12" si="0">SUM(W10:X10)</f>
        <v>95</v>
      </c>
      <c r="Z10" s="335" t="str">
        <f>IF(ISNUMBER(Datos!CC10),Datos!CC10," - ")</f>
        <v xml:space="preserve"> - </v>
      </c>
      <c r="AA10" s="332">
        <f>IF(ISNUMBER(Datos!L10),Datos!L10,"-")</f>
        <v>104</v>
      </c>
      <c r="AB10" s="334">
        <f>IF(ISNUMBER(Datos!R10),Datos!R10," - ")</f>
        <v>53</v>
      </c>
      <c r="AC10" s="334">
        <f t="shared" ref="AC10:AC12" si="1">IF(ISNUMBER(AA10+AB10),AA10+AB10," - ")</f>
        <v>157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0.84158415841584155</v>
      </c>
      <c r="AM10" s="260">
        <f>IF(ISNUMBER(((NºAsuntos!I10/NºAsuntos!G10)*11)/factor_trimestre),((NºAsuntos!I10/NºAsuntos!G10)*11)/factor_trimestre," - ")</f>
        <v>3.6705882352941184</v>
      </c>
      <c r="AN10" s="244">
        <f>IF(ISNUMBER('Resol  Asuntos'!D10/NºAsuntos!G10),'Resol  Asuntos'!D10/NºAsuntos!G10," - ")</f>
        <v>0.27058823529411763</v>
      </c>
      <c r="AO10" s="245">
        <f>IF(ISNUMBER((NºAsuntos!C10+NºAsuntos!E10)/NºAsuntos!G10),(NºAsuntos!C10+NºAsuntos!E10)/NºAsuntos!G10," - ")</f>
        <v>2.223529411764706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45</v>
      </c>
      <c r="Y11" s="334">
        <f t="shared" si="0"/>
        <v>45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1288</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253</v>
      </c>
      <c r="AJ11" s="231" t="str">
        <f>IF(ISNUMBER(Datos!BW11),Datos!BW11," - ")</f>
        <v xml:space="preserve"> - </v>
      </c>
      <c r="AK11" s="232" t="str">
        <f>IF(ISNUMBER(Datos!BX11),Datos!BX11," - ")</f>
        <v xml:space="preserve"> - </v>
      </c>
      <c r="AL11" s="243">
        <f>IF(ISNUMBER(NºAsuntos!G11/NºAsuntos!E11),NºAsuntos!G11/NºAsuntos!E11," - ")</f>
        <v>1.4041811846689896</v>
      </c>
      <c r="AM11" s="260">
        <f>IF(ISNUMBER(((NºAsuntos!I11/NºAsuntos!G11)*11)/factor_trimestre),((NºAsuntos!I11/NºAsuntos!G11)*11)/factor_trimestre," - ")</f>
        <v>4.6823821339950369</v>
      </c>
      <c r="AN11" s="244">
        <f>IF(ISNUMBER('Resol  Asuntos'!D11/NºAsuntos!G11),'Resol  Asuntos'!D11/NºAsuntos!G11," - ")</f>
        <v>0.31389578163771714</v>
      </c>
      <c r="AO11" s="245">
        <f>IF(ISNUMBER((NºAsuntos!C11+NºAsuntos!E11)/NºAsuntos!G11),(NºAsuntos!C11+NºAsuntos!E11)/NºAsuntos!G11," - ")</f>
        <v>2.5620347394540941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88</v>
      </c>
      <c r="G13" s="866">
        <f t="shared" si="3"/>
        <v>88</v>
      </c>
      <c r="H13" s="865">
        <f t="shared" si="3"/>
        <v>0</v>
      </c>
      <c r="I13" s="867">
        <f t="shared" si="3"/>
        <v>0</v>
      </c>
      <c r="J13" s="867">
        <f t="shared" si="3"/>
        <v>0</v>
      </c>
      <c r="K13" s="867">
        <f t="shared" si="3"/>
        <v>0</v>
      </c>
      <c r="L13" s="867">
        <f t="shared" si="3"/>
        <v>947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85</v>
      </c>
      <c r="X13" s="867">
        <f t="shared" si="4"/>
        <v>489</v>
      </c>
      <c r="Y13" s="868">
        <f t="shared" si="4"/>
        <v>574</v>
      </c>
      <c r="Z13" s="868">
        <f t="shared" si="4"/>
        <v>0</v>
      </c>
      <c r="AA13" s="868">
        <f t="shared" si="4"/>
        <v>104</v>
      </c>
      <c r="AB13" s="868">
        <f t="shared" si="4"/>
        <v>10061</v>
      </c>
      <c r="AC13" s="868">
        <f t="shared" si="4"/>
        <v>157</v>
      </c>
      <c r="AD13" s="868">
        <f t="shared" si="4"/>
        <v>0</v>
      </c>
      <c r="AE13" s="872">
        <f t="shared" si="4"/>
        <v>0</v>
      </c>
      <c r="AF13" s="865">
        <f t="shared" si="4"/>
        <v>0</v>
      </c>
      <c r="AG13" s="873">
        <f t="shared" si="4"/>
        <v>0</v>
      </c>
      <c r="AH13" s="870">
        <f t="shared" si="4"/>
        <v>0</v>
      </c>
      <c r="AI13" s="865">
        <f t="shared" si="4"/>
        <v>1207</v>
      </c>
      <c r="AJ13" s="867">
        <f t="shared" si="4"/>
        <v>0</v>
      </c>
      <c r="AK13" s="870">
        <f>SUBTOTAL(9,AK9:AK12)</f>
        <v>0</v>
      </c>
      <c r="AL13" s="874">
        <f>IF(ISNUMBER(NºAsuntos!G13/NºAsuntos!E13),NºAsuntos!G13/NºAsuntos!E13," - ")</f>
        <v>1.5239035954168314</v>
      </c>
      <c r="AM13" s="874">
        <f>IF(ISNUMBER(((NºAsuntos!I13/NºAsuntos!G13)*11)/factor_trimestre),((NºAsuntos!I13/NºAsuntos!G13)*11)/factor_trimestre," - ")</f>
        <v>5.686543946072077</v>
      </c>
      <c r="AN13" s="875">
        <f>IF(ISNUMBER('Resol  Asuntos'!D13/NºAsuntos!G13),'Resol  Asuntos'!D13/NºAsuntos!G13," - ")</f>
        <v>0.31293751620430388</v>
      </c>
      <c r="AO13" s="876">
        <f>IF(ISNUMBER((NºAsuntos!C13+NºAsuntos!E13)/NºAsuntos!G13),(NºAsuntos!C13+NºAsuntos!E13)/NºAsuntos!G13," - ")</f>
        <v>2.8866995073891624</v>
      </c>
      <c r="AP13" s="877" t="str">
        <f t="shared" si="2"/>
        <v xml:space="preserve"> - </v>
      </c>
      <c r="AQ13" s="877">
        <f>IF(ISNUMBER((H13-W13+K13)/(F13)),(H13-W13+K13)/(F13)," - ")</f>
        <v>-0.96590909090909094</v>
      </c>
      <c r="AR13" s="878">
        <f>IF(ISNUMBER((Datos!P13-Datos!Q13)/(Datos!R13-Datos!P13+Datos!Q13)),(Datos!P13-Datos!Q13)/(Datos!R13-Datos!P13+Datos!Q13)," - ")</f>
        <v>4.7693429136728104E-2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1873</v>
      </c>
      <c r="G15" s="333">
        <f>IF(ISNUMBER(IF(D_I="SI",Datos!I15,Datos!I15+Datos!AC15)),IF(D_I="SI",Datos!I15,Datos!I15+Datos!AC15)," - ")</f>
        <v>1833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125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2423</v>
      </c>
      <c r="X15" s="226">
        <f>IF(ISNUMBER(Datos!Q15),Datos!Q15," - ")</f>
        <v>159</v>
      </c>
      <c r="Y15" s="334">
        <f>SUM(W15)</f>
        <v>2423</v>
      </c>
      <c r="Z15" s="335" t="str">
        <f>IF(ISNUMBER(Datos!CC15),Datos!CC15," - ")</f>
        <v xml:space="preserve"> - </v>
      </c>
      <c r="AA15" s="332">
        <f>IF(ISNUMBER(IF(D_I="SI",Datos!L15,Datos!L15+Datos!AF15)),IF(D_I="SI",Datos!L15,Datos!L15+Datos!AF15)," - ")</f>
        <v>1685</v>
      </c>
      <c r="AB15" s="334">
        <f>IF(ISNUMBER(Datos!R15),Datos!R15," - ")</f>
        <v>387</v>
      </c>
      <c r="AC15" s="334">
        <f t="shared" ref="AC15:AC17" si="6">IF(ISNUMBER(AA15+AB15),AA15+AB15," - ")</f>
        <v>2072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265</v>
      </c>
      <c r="AJ15" s="231" t="str">
        <f>IF(ISNUMBER(Datos!BW15),Datos!BW15," - ")</f>
        <v xml:space="preserve"> - </v>
      </c>
      <c r="AK15" s="232" t="str">
        <f>IF(ISNUMBER(Datos!BX15),Datos!BX15," - ")</f>
        <v xml:space="preserve"> - </v>
      </c>
      <c r="AL15" s="243">
        <f>IF(ISNUMBER(NºAsuntos!G15/NºAsuntos!E15),NºAsuntos!G15/NºAsuntos!E15," - ")</f>
        <v>1.0841163310961968</v>
      </c>
      <c r="AM15" s="260">
        <f>IF(ISNUMBER(((NºAsuntos!I15/NºAsuntos!G15)*11)/factor_trimestre),((NºAsuntos!I15/NºAsuntos!G15)*11)/factor_trimestre," - ")</f>
        <v>2.0862567065621134</v>
      </c>
      <c r="AN15" s="244">
        <f>IF(ISNUMBER('Resol  Asuntos'!D15/NºAsuntos!G15),'Resol  Asuntos'!D15/NºAsuntos!G15," - ")</f>
        <v>0.10936855138258357</v>
      </c>
      <c r="AO15" s="245">
        <f>IF(ISNUMBER((NºAsuntos!C15+NºAsuntos!E15)/NºAsuntos!G15),(NºAsuntos!C15+NºAsuntos!E15)/NºAsuntos!G15," - ")</f>
        <v>1.6789104416013207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329</v>
      </c>
      <c r="X17" s="226">
        <f>IF(ISNUMBER(Datos!Q17),Datos!Q17," - ")</f>
        <v>2</v>
      </c>
      <c r="Y17" s="334">
        <f t="shared" si="7"/>
        <v>331</v>
      </c>
      <c r="Z17" s="335" t="str">
        <f>IF(ISNUMBER(Datos!CC17),Datos!CC17," - ")</f>
        <v xml:space="preserve"> - </v>
      </c>
      <c r="AA17" s="332">
        <f>IF(ISNUMBER(Datos!L17),Datos!L17,"-")</f>
        <v>303</v>
      </c>
      <c r="AB17" s="334">
        <f>IF(ISNUMBER(Datos!R17),Datos!R17," - ")</f>
        <v>0</v>
      </c>
      <c r="AC17" s="334">
        <f t="shared" si="6"/>
        <v>303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1.1267123287671232</v>
      </c>
      <c r="AM17" s="260">
        <f>IF(ISNUMBER(((NºAsuntos!I17/NºAsuntos!G17)*11)/factor_trimestre),((NºAsuntos!I17/NºAsuntos!G17)*11)/factor_trimestre," - ")</f>
        <v>2.7629179331306997</v>
      </c>
      <c r="AN17" s="244">
        <f>IF(ISNUMBER('Resol  Asuntos'!D17/NºAsuntos!G17),'Resol  Asuntos'!D17/NºAsuntos!G17," - ")</f>
        <v>2.1276595744680851E-2</v>
      </c>
      <c r="AO17" s="245">
        <f>IF(ISNUMBER((NºAsuntos!C17+NºAsuntos!E17)/NºAsuntos!G17),(NºAsuntos!C17+NºAsuntos!E17)/NºAsuntos!G17," - ")</f>
        <v>1.9209726443768997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1873</v>
      </c>
      <c r="G18" s="866">
        <f>SUBTOTAL(9,G15:G17)</f>
        <v>2173</v>
      </c>
      <c r="H18" s="865">
        <f t="shared" ref="H18:O18" si="10">SUBTOTAL(9,H14:H17)</f>
        <v>0</v>
      </c>
      <c r="I18" s="867">
        <f t="shared" si="10"/>
        <v>0</v>
      </c>
      <c r="J18" s="867">
        <f t="shared" si="10"/>
        <v>0</v>
      </c>
      <c r="K18" s="867">
        <f t="shared" si="10"/>
        <v>0</v>
      </c>
      <c r="L18" s="867">
        <f t="shared" si="10"/>
        <v>125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2752</v>
      </c>
      <c r="X18" s="867">
        <f t="shared" si="11"/>
        <v>161</v>
      </c>
      <c r="Y18" s="868">
        <f t="shared" si="11"/>
        <v>2754</v>
      </c>
      <c r="Z18" s="868">
        <f t="shared" si="11"/>
        <v>0</v>
      </c>
      <c r="AA18" s="868">
        <f t="shared" si="11"/>
        <v>1988</v>
      </c>
      <c r="AB18" s="868">
        <f t="shared" si="11"/>
        <v>387</v>
      </c>
      <c r="AC18" s="868">
        <f t="shared" si="11"/>
        <v>2375</v>
      </c>
      <c r="AD18" s="868">
        <f t="shared" si="11"/>
        <v>0</v>
      </c>
      <c r="AE18" s="872">
        <f t="shared" si="11"/>
        <v>0</v>
      </c>
      <c r="AF18" s="865">
        <f t="shared" si="11"/>
        <v>0</v>
      </c>
      <c r="AG18" s="873">
        <f t="shared" si="11"/>
        <v>0</v>
      </c>
      <c r="AH18" s="870">
        <f t="shared" si="11"/>
        <v>0</v>
      </c>
      <c r="AI18" s="865">
        <f t="shared" si="11"/>
        <v>272</v>
      </c>
      <c r="AJ18" s="867">
        <f t="shared" si="11"/>
        <v>0</v>
      </c>
      <c r="AK18" s="870">
        <f t="shared" si="11"/>
        <v>0</v>
      </c>
      <c r="AL18" s="874">
        <f>IF(ISNUMBER(NºAsuntos!G18/NºAsuntos!E18),NºAsuntos!G18/NºAsuntos!E18," - ")</f>
        <v>1.0890383854372774</v>
      </c>
      <c r="AM18" s="874">
        <f>IF(ISNUMBER(((NºAsuntos!I18/NºAsuntos!G18)*11)/factor_trimestre),((NºAsuntos!I18/NºAsuntos!G18)*11)/factor_trimestre," - ")</f>
        <v>2.1671511627906979</v>
      </c>
      <c r="AN18" s="875">
        <f>IF(ISNUMBER('Resol  Asuntos'!D18/NºAsuntos!G18),'Resol  Asuntos'!D18/NºAsuntos!G18," - ")</f>
        <v>9.8837209302325577E-2</v>
      </c>
      <c r="AO18" s="876">
        <f>IF(ISNUMBER((NºAsuntos!C18+NºAsuntos!E18)/NºAsuntos!G18),(NºAsuntos!C18+NºAsuntos!E18)/NºAsuntos!G18," - ")</f>
        <v>1.7078488372093024</v>
      </c>
      <c r="AP18" s="877" t="str">
        <f t="shared" si="2"/>
        <v xml:space="preserve"> - </v>
      </c>
      <c r="AQ18" s="877">
        <f>IF(ISNUMBER((H18-W18+K18)/(F18)),(H18-W18+K18)/(F18)," - ")</f>
        <v>-1.4693005872931126</v>
      </c>
      <c r="AR18" s="878">
        <f>IF(ISNUMBER((Datos!P18-Datos!Q18)/(Datos!R18-Datos!P18+Datos!Q18)),(Datos!P18-Datos!Q18)/(Datos!R18-Datos!P18+Datos!Q18)," - ")</f>
        <v>-8.5106382978723402E-2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1961</v>
      </c>
      <c r="G19" s="821">
        <f t="shared" si="13"/>
        <v>2261</v>
      </c>
      <c r="H19" s="820">
        <f t="shared" si="13"/>
        <v>0</v>
      </c>
      <c r="I19" s="822">
        <f t="shared" si="13"/>
        <v>0</v>
      </c>
      <c r="J19" s="822">
        <f t="shared" si="13"/>
        <v>0</v>
      </c>
      <c r="K19" s="881">
        <f t="shared" si="13"/>
        <v>0</v>
      </c>
      <c r="L19" s="822">
        <f t="shared" si="13"/>
        <v>1072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2837</v>
      </c>
      <c r="X19" s="821">
        <f t="shared" si="14"/>
        <v>650</v>
      </c>
      <c r="Y19" s="828">
        <f t="shared" si="14"/>
        <v>3328</v>
      </c>
      <c r="Z19" s="828">
        <f t="shared" si="14"/>
        <v>0</v>
      </c>
      <c r="AA19" s="828">
        <f t="shared" si="14"/>
        <v>2092</v>
      </c>
      <c r="AB19" s="828">
        <f t="shared" si="14"/>
        <v>10448</v>
      </c>
      <c r="AC19" s="828">
        <f t="shared" si="14"/>
        <v>2532</v>
      </c>
      <c r="AD19" s="828">
        <f t="shared" si="14"/>
        <v>0</v>
      </c>
      <c r="AE19" s="830">
        <f t="shared" si="14"/>
        <v>0</v>
      </c>
      <c r="AF19" s="831">
        <f t="shared" si="14"/>
        <v>0</v>
      </c>
      <c r="AG19" s="832">
        <f t="shared" si="14"/>
        <v>0</v>
      </c>
      <c r="AH19" s="830">
        <f t="shared" si="14"/>
        <v>0</v>
      </c>
      <c r="AI19" s="820">
        <f t="shared" si="14"/>
        <v>1479</v>
      </c>
      <c r="AJ19" s="820">
        <f t="shared" si="14"/>
        <v>0</v>
      </c>
      <c r="AK19" s="830">
        <f t="shared" si="14"/>
        <v>0</v>
      </c>
      <c r="AL19" s="884">
        <f>IF(ISNUMBER(NºAsuntos!G19/NºAsuntos!E19),NºAsuntos!G19/NºAsuntos!E19," - ")</f>
        <v>1.3066429418742587</v>
      </c>
      <c r="AM19" s="885">
        <f>IF(ISNUMBER(((NºAsuntos!I19/NºAsuntos!G19)*11)/factor_trimestre),((NºAsuntos!I19/NºAsuntos!G19)*11)/factor_trimestre," - ")</f>
        <v>4.2210621879255559</v>
      </c>
      <c r="AN19" s="885">
        <f>IF(ISNUMBER('Resol  Asuntos'!D19/NºAsuntos!G19),'Resol  Asuntos'!D19/NºAsuntos!G19," - ")</f>
        <v>0.22378574670903315</v>
      </c>
      <c r="AO19" s="886">
        <f>IF(ISNUMBER((NºAsuntos!C19+NºAsuntos!E19)/NºAsuntos!G19),(NºAsuntos!C19+NºAsuntos!E19)/NºAsuntos!G19," - ")</f>
        <v>2.3958238765320017</v>
      </c>
      <c r="AP19" s="887" t="str">
        <f t="shared" si="2"/>
        <v xml:space="preserve"> - </v>
      </c>
      <c r="AQ19" s="888">
        <f>IF(OR(ISNUMBER(FIND("01",Criterios!A8,1)),ISNUMBER(FIND("02",Criterios!A8,1)),ISNUMBER(FIND("03",Criterios!A8,1)),ISNUMBER(FIND("04",Criterios!A8,1))),(I19-W19+K19)/(F19-K19),(H19-W19+K19)/(F19-K19))</f>
        <v>-1.4467108618052014</v>
      </c>
      <c r="AR19" s="889">
        <f>IF(ISNUMBER((Datos!P19-Datos!Q19)/(Datos!R19-Datos!P19+Datos!Q19)),(Datos!P19-Datos!Q19)/(Datos!R19-Datos!P19+Datos!Q19)," - ")</f>
        <v>4.209056453221624E-2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904.4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2.7588242262078082</v>
      </c>
      <c r="F21" s="252">
        <f>IF(ISNUMBER(STDEV(F8:F18)),STDEV(F8:F18),"-")</f>
        <v>1030.570230503482</v>
      </c>
      <c r="G21" s="253">
        <f>IF(ISNUMBER(STDEV(G8:G18)),STDEV(G8:G18),"-")</f>
        <v>1015.2843444080087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1334.9408975681283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462.32018383470171</v>
      </c>
      <c r="AJ21" s="252">
        <f t="shared" si="18"/>
        <v>0</v>
      </c>
      <c r="AK21" s="254">
        <f t="shared" si="18"/>
        <v>0</v>
      </c>
      <c r="AL21" s="249">
        <f t="shared" si="18"/>
        <v>0.275197005581302</v>
      </c>
      <c r="AM21" s="250">
        <f t="shared" si="18"/>
        <v>1.6287536855927249</v>
      </c>
      <c r="AN21" s="250">
        <f t="shared" si="18"/>
        <v>0.12505546624289807</v>
      </c>
      <c r="AO21" s="251">
        <f t="shared" si="18"/>
        <v>0.54437320927739119</v>
      </c>
      <c r="AP21" s="291" t="str">
        <f t="shared" si="18"/>
        <v>-</v>
      </c>
      <c r="AQ21" s="292">
        <f t="shared" si="18"/>
        <v>0.35595154068478468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24i+daxKmjeUbjAMr6332yUtwg4U7bNJRMftPog8Lxdaow8MpHjl98+djFe/WN2RH18qghQHojUsu+cvrIqxzg==" saltValue="DibCbd7FTIy6O/1whfej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JAEN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9.0163934426229511E-2</v>
      </c>
      <c r="I9" s="350">
        <f>IF(ISNUMBER((Tasas!C9-Datos!BE9)/Datos!BE9),(Tasas!C9-Datos!BE9)/Datos!BE9," - ")</f>
        <v>3.3040536105359321E-2</v>
      </c>
      <c r="J9" s="349">
        <f>IF(ISNUMBER((Tasas!D9-Datos!BF9)/Datos!BF9),(Tasas!D9-Datos!BF9)/Datos!BF9," - ")</f>
        <v>0.16277214370122103</v>
      </c>
      <c r="K9" s="351">
        <f>IF(ISNUMBER((Tasas!E9-Datos!BG9)/Datos!BG9),(Tasas!E9-Datos!BG9)/Datos!BG9," - ")</f>
        <v>1.7796711641595402E-2</v>
      </c>
      <c r="M9" t="e">
        <f>IF(Monitorios="SI",Datos!CE9,0)</f>
        <v>#REF!</v>
      </c>
      <c r="N9" t="e">
        <f>IF(Monitorios="SI",Datos!CF9,0)</f>
        <v>#REF!</v>
      </c>
      <c r="O9" t="e">
        <f>IF(Monitorios="SI",Datos!CG9,0)</f>
        <v>#REF!</v>
      </c>
      <c r="P9" t="e">
        <f>IF(Monitorios="SI",Datos!CH9,0)</f>
        <v>#REF!</v>
      </c>
      <c r="Q9">
        <f>IF(J_V="SI",0,Datos!AG9)</f>
        <v>81</v>
      </c>
      <c r="R9">
        <f>IF(J_V="SI",0,Datos!AH9)</f>
        <v>77</v>
      </c>
      <c r="S9">
        <f>IF(J_V="SI",0,Datos!AI9)</f>
        <v>77</v>
      </c>
      <c r="T9">
        <f>IF(J_V="SI",0,Datos!AJ9)</f>
        <v>81</v>
      </c>
    </row>
    <row r="10" spans="2:20" ht="14.25">
      <c r="B10" s="275" t="s">
        <v>246</v>
      </c>
      <c r="C10" s="7" t="str">
        <f>Datos!A10</f>
        <v>Jdos. Violencia contra la mujer</v>
      </c>
      <c r="D10" s="352">
        <f>IF(ISNUMBER((Datos!I10-Datos!S10)/Datos!S10),(Datos!I10-Datos!S10)/Datos!S10," - ")</f>
        <v>-0.16981132075471697</v>
      </c>
      <c r="E10" s="348">
        <f>IF(ISNUMBER((Datos!J10-Datos!T10)/Datos!T10),(Datos!J10-Datos!T10)/Datos!T10," - ")</f>
        <v>0.53030303030303028</v>
      </c>
      <c r="F10" s="348">
        <f>IF(ISNUMBER((Datos!K10-Datos!U10)/Datos!U10),(Datos!K10-Datos!U10)/Datos!U10," - ")</f>
        <v>-2.2988505747126436E-2</v>
      </c>
      <c r="G10" s="349">
        <f>IF(ISNUMBER((Datos!L10-Datos!V10)/Datos!V10),(Datos!L10-Datos!V10)/Datos!V10," - ")</f>
        <v>0.22352941176470589</v>
      </c>
      <c r="H10" s="230">
        <f>IF(ISNUMBER((Datos!M10-Datos!W10)/Datos!W10),(Datos!M10-Datos!W10)/Datos!W10," - ")</f>
        <v>-0.11538461538461539</v>
      </c>
      <c r="I10" s="350">
        <f>IF(ISNUMBER((Tasas!C10-Datos!BE10)/Datos!BE10),(Tasas!C10-Datos!BE10)/Datos!BE10," - ")</f>
        <v>0.25231833910034607</v>
      </c>
      <c r="J10" s="349">
        <f>IF(ISNUMBER((Tasas!D10-Datos!BF10)/Datos!BF10),(Tasas!D10-Datos!BF10)/Datos!BF10," - ")</f>
        <v>-9.4570135746606471E-2</v>
      </c>
      <c r="K10" s="351">
        <f>IF(ISNUMBER((Tasas!E10-Datos!BG10)/Datos!BG10),(Tasas!E10-Datos!BG10)/Datos!BG10," - ")</f>
        <v>0.12469220246238033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1.6064257028112448E-2</v>
      </c>
      <c r="I11" s="350">
        <f>IF(ISNUMBER((Tasas!C11-Datos!BE11)/Datos!BE11),(Tasas!C11-Datos!BE11)/Datos!BE11," - ")</f>
        <v>-0.20077879036105845</v>
      </c>
      <c r="J11" s="349">
        <f>IF(ISNUMBER((Tasas!D11-Datos!BF11)/Datos!BF11),(Tasas!D11-Datos!BF11)/Datos!BF11," - ")</f>
        <v>-0.24522794253455066</v>
      </c>
      <c r="K11" s="351">
        <f>IF(ISNUMBER((Tasas!E11-Datos!BG11)/Datos!BG11),(Tasas!E11-Datos!BG11)/Datos!BG11," - ")</f>
        <v>-0.13196907824241136</v>
      </c>
      <c r="M11" t="e">
        <f>IF(Monitorios="SI",Datos!CE11,0)</f>
        <v>#REF!</v>
      </c>
      <c r="N11" t="e">
        <f>IF(Monitorios="SI",Datos!CF11,0)</f>
        <v>#REF!</v>
      </c>
      <c r="O11" t="e">
        <f>IF(Monitorios="SI",Datos!CG11,0)</f>
        <v>#REF!</v>
      </c>
      <c r="P11" t="e">
        <f>IF(Monitorios="SI",Datos!CH11,0)</f>
        <v>#REF!</v>
      </c>
      <c r="Q11">
        <f>IF(J_V="SI",0,Datos!AG11)</f>
        <v>427</v>
      </c>
      <c r="R11">
        <f>IF(J_V="SI",0,Datos!AH11)</f>
        <v>233</v>
      </c>
      <c r="S11">
        <f>IF(J_V="SI",0,Datos!AI11)</f>
        <v>162</v>
      </c>
      <c r="T11">
        <f>IF(J_V="SI",0,Datos!AJ11)</f>
        <v>498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6.9087688219663421E-2</v>
      </c>
      <c r="I13" s="357">
        <f>IF(ISNUMBER((Tasas!C13-Datos!BE13)/Datos!BE13),(Tasas!C13-Datos!BE13)/Datos!BE13," - ")</f>
        <v>-1.2591749987283241E-2</v>
      </c>
      <c r="J13" s="355">
        <f>IF(ISNUMBER((Tasas!D13-Datos!BF13)/Datos!BF13),(Tasas!D13-Datos!BF13)/Datos!BF13," - ")</f>
        <v>3.581717215800774E-2</v>
      </c>
      <c r="K13" s="358">
        <f>IF(ISNUMBER((Tasas!E13-Datos!BG13)/Datos!BG13),(Tasas!E13-Datos!BG13)/Datos!BG13," - ")</f>
        <v>-1.1200059490990009E-2</v>
      </c>
      <c r="M13" t="e">
        <f>IF(Monitorios="SI",Datos!CE13,0)</f>
        <v>#REF!</v>
      </c>
      <c r="N13" t="e">
        <f>IF(Monitorios="SI",Datos!CF13,0)</f>
        <v>#REF!</v>
      </c>
      <c r="O13" t="e">
        <f>IF(Monitorios="SI",Datos!CG13,0)</f>
        <v>#REF!</v>
      </c>
      <c r="P13" t="e">
        <f>IF(Monitorios="SI",Datos!CH13,0)</f>
        <v>#REF!</v>
      </c>
      <c r="Q13">
        <f>IF(J_V="SI",0,Datos!AG13)</f>
        <v>508</v>
      </c>
      <c r="R13">
        <f>IF(J_V="SI",0,Datos!AH13)</f>
        <v>310</v>
      </c>
      <c r="S13">
        <f>IF(J_V="SI",0,Datos!AI13)</f>
        <v>239</v>
      </c>
      <c r="T13">
        <f>IF(J_V="SI",0,Datos!AJ13)</f>
        <v>579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4.3835616438356161E-3</v>
      </c>
      <c r="E15" s="348">
        <f>IF(ISNUMBER(
   IF(D_I="SI",(Datos!J15-Datos!T15)/Datos!T15,(Datos!J15+Datos!AD15-(Datos!T15+Datos!AL15))/(Datos!T15+Datos!AL15))
     ),IF(D_I="SI",(Datos!J15-Datos!T15)/Datos!T15,(Datos!J15+Datos!AD15-(Datos!T15+Datos!AL15))/(Datos!T15+Datos!AL15))," - ")</f>
        <v>-0.16040570999248685</v>
      </c>
      <c r="F15" s="348">
        <f>IF(ISNUMBER(
   IF(D_I="SI",(Datos!K15-Datos!U15)/Datos!U15,(Datos!K15+Datos!AE15-(Datos!U15+Datos!AM15))/(Datos!U15+Datos!AM15))
     ),IF(D_I="SI",(Datos!K15-Datos!U15)/Datos!U15,(Datos!K15+Datos!AE15-(Datos!U15+Datos!AM15))/(Datos!U15+Datos!AM15))," - ")</f>
        <v>-8.4278155706727129E-2</v>
      </c>
      <c r="G15" s="349">
        <f>IF(ISNUMBER(
   IF(D_I="SI",(Datos!L15-Datos!V15)/Datos!V15,(Datos!L15+Datos!AF15-(Datos!V15+Datos!AN15))/(Datos!V15+Datos!AN15))
     ),IF(D_I="SI",(Datos!L15-Datos!V15)/Datos!V15,(Datos!L15+Datos!AF15-(Datos!V15+Datos!AN15))/(Datos!V15+Datos!AN15))," - ")</f>
        <v>-9.1154261057173683E-2</v>
      </c>
      <c r="H15" s="230">
        <f>IF(ISNUMBER((Datos!M15-Datos!W15)/Datos!W15),(Datos!M15-Datos!W15)/Datos!W15," - ")</f>
        <v>-0.29144385026737968</v>
      </c>
      <c r="I15" s="350">
        <f>IF(ISNUMBER((Tasas!C15-Datos!BE15)/Datos!BE15),(Tasas!C15-Datos!BE15)/Datos!BE15," - ")</f>
        <v>-7.5089454219073905E-3</v>
      </c>
      <c r="J15" s="349">
        <f>IF(ISNUMBER((Tasas!D15-Datos!BF15)/Datos!BF15),(Tasas!D15-Datos!BF15)/Datos!BF15," - ")</f>
        <v>-0.22623212043230989</v>
      </c>
      <c r="K15" s="351">
        <f>IF(ISNUMBER((Tasas!E15-Datos!BG15)/Datos!BG15),(Tasas!E15-Datos!BG15)/Datos!BG15," - ")</f>
        <v>-9.9404884160698512E-3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8.2802547770700632E-2</v>
      </c>
      <c r="E17" s="348">
        <f>IF(ISNUMBER(
   IF(D_I="SI",(Datos!J17-Datos!T17)/Datos!T17,(Datos!J17+Datos!AD17-(Datos!T17+Datos!AL17))/(Datos!T17+Datos!AL17))
     ),IF(D_I="SI",(Datos!J17-Datos!T17)/Datos!T17,(Datos!J17+Datos!AD17-(Datos!T17+Datos!AL17))/(Datos!T17+Datos!AL17))," - ")</f>
        <v>0.11026615969581749</v>
      </c>
      <c r="F17" s="348">
        <f>IF(ISNUMBER(
   IF(D_I="SI",(Datos!K17-Datos!U17)/Datos!U17,(Datos!K17+Datos!AE17-(Datos!U17+Datos!AM17))/(Datos!U17+Datos!AM17))
     ),IF(D_I="SI",(Datos!K17-Datos!U17)/Datos!U17,(Datos!K17+Datos!AE17-(Datos!U17+Datos!AM17))/(Datos!U17+Datos!AM17))," - ")</f>
        <v>-1.4970059880239521E-2</v>
      </c>
      <c r="G17" s="349">
        <f>IF(ISNUMBER(
   IF(D_I="SI",(Datos!L17-Datos!V17)/Datos!V17,(Datos!L17+Datos!AF17-(Datos!V17+Datos!AN17))/(Datos!V17+Datos!AN17))
     ),IF(D_I="SI",(Datos!L17-Datos!V17)/Datos!V17,(Datos!L17+Datos!AF17-(Datos!V17+Datos!AN17))/(Datos!V17+Datos!AN17))," - ")</f>
        <v>0.24180327868852458</v>
      </c>
      <c r="H17" s="230">
        <f>IF(ISNUMBER((Datos!M17-Datos!W17)/Datos!W17),(Datos!M17-Datos!W17)/Datos!W17," - ")</f>
        <v>-0.61111111111111116</v>
      </c>
      <c r="I17" s="350">
        <f>IF(ISNUMBER((Tasas!C17-Datos!BE17)/Datos!BE17),(Tasas!C17-Datos!BE17)/Datos!BE17," - ")</f>
        <v>0.26067566894214966</v>
      </c>
      <c r="J17" s="349">
        <f>IF(ISNUMBER((Tasas!D17-Datos!BF17)/Datos!BF17),(Tasas!D17-Datos!BF17)/Datos!BF17," - ")</f>
        <v>-0.60520094562647764</v>
      </c>
      <c r="K17" s="351">
        <f>IF(ISNUMBER((Tasas!E17-Datos!BG17)/Datos!BG17),(Tasas!E17-Datos!BG17)/Datos!BG17," - ")</f>
        <v>0.11196683400673224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1.5895278167367927E-2</v>
      </c>
      <c r="E18" s="354">
        <f>IF(ISNUMBER(
   IF(D_I="SI",(Datos!J18-Datos!T18)/Datos!T18,(Datos!J18+Datos!AD18-(Datos!T18+Datos!AL18))/(Datos!T18+Datos!AL18))
     ),IF(D_I="SI",(Datos!J18-Datos!T18)/Datos!T18,(Datos!J18+Datos!AD18-(Datos!T18+Datos!AL18))/(Datos!T18+Datos!AL18))," - ")</f>
        <v>-0.13606837606837607</v>
      </c>
      <c r="F18" s="354">
        <f>IF(ISNUMBER(
   IF(D_I="SI",(Datos!K18-Datos!U18)/Datos!U18,(Datos!K18+Datos!AE18-(Datos!U18+Datos!AM18))/(Datos!U18+Datos!AM18))
     ),IF(D_I="SI",(Datos!K18-Datos!U18)/Datos!U18,(Datos!K18+Datos!AE18-(Datos!U18+Datos!AM18))/(Datos!U18+Datos!AM18))," - ")</f>
        <v>-7.6510067114093958E-2</v>
      </c>
      <c r="G18" s="355">
        <f>IF(ISNUMBER(
   IF(D_I="SI",(Datos!L18-Datos!V18)/Datos!V18,(Datos!L18+Datos!AF18-(Datos!V18+Datos!AN18))/(Datos!V18+Datos!AN18))
     ),IF(D_I="SI",(Datos!L18-Datos!V18)/Datos!V18,(Datos!L18+Datos!AF18-(Datos!V18+Datos!AN18))/(Datos!V18+Datos!AN18))," - ")</f>
        <v>-5.2430886558627265E-2</v>
      </c>
      <c r="H18" s="356">
        <f>IF(ISNUMBER((Datos!M18-Datos!W18)/Datos!W18),(Datos!M18-Datos!W18)/Datos!W18," - ")</f>
        <v>-0.30612244897959184</v>
      </c>
      <c r="I18" s="357">
        <f>IF(ISNUMBER((Tasas!C18-Datos!BE18)/Datos!BE18),(Tasas!C18-Datos!BE18)/Datos!BE18," - ")</f>
        <v>2.6074112665439894E-2</v>
      </c>
      <c r="J18" s="355">
        <f>IF(ISNUMBER((Tasas!D18-Datos!BF18)/Datos!BF18),(Tasas!D18-Datos!BF18)/Datos!BF18," - ")</f>
        <v>-0.24863550071191268</v>
      </c>
      <c r="K18" s="358">
        <f>IF(ISNUMBER((Tasas!E18-Datos!BG18)/Datos!BG18),(Tasas!E18-Datos!BG18)/Datos!BG18," - ")</f>
        <v>5.0137312171644553E-3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0.18067272926481867</v>
      </c>
      <c r="E19" s="363">
        <f>IF(ISNUMBER(
   IF(J_V="SI",(Datos!J19-Datos!T19)/Datos!T19,(Datos!J19+Datos!Z19-(Datos!T19+Datos!AH19))/(Datos!T19+Datos!AH19))
     ),IF(J_V="SI",(Datos!J19-Datos!T19)/Datos!T19,(Datos!J19+Datos!Z19-(Datos!T19+Datos!AH19))/(Datos!T19+Datos!AH19))," - ")</f>
        <v>-0.15784215784215785</v>
      </c>
      <c r="F19" s="363">
        <f>IF(ISNUMBER(
   IF(J_V="SI",(Datos!K19-Datos!U19)/Datos!U19,(Datos!K19+Datos!AA19-(Datos!U19+Datos!AI19))/(Datos!U19+Datos!AI19))
     ),IF(J_V="SI",(Datos!K19-Datos!U19)/Datos!U19,(Datos!K19+Datos!AA19-(Datos!U19+Datos!AI19))/(Datos!U19+Datos!AI19))," - ")</f>
        <v>2.7998133457769483E-2</v>
      </c>
      <c r="G19" s="364">
        <f>IF(ISNUMBER(
   IF(J_V="SI",(Datos!L19-Datos!V19)/Datos!V19,(Datos!L19+Datos!AB19-(Datos!V19+Datos!AJ19))/(Datos!V19+Datos!AJ19))
     ),IF(J_V="SI",(Datos!L19-Datos!V19)/Datos!V19,(Datos!L19+Datos!AB19-(Datos!V19+Datos!AJ19))/(Datos!V19+Datos!AJ19))," - ")</f>
        <v>6.6521390067668315E-2</v>
      </c>
      <c r="H19" s="365">
        <f>IF(ISNUMBER((Datos!M19-Datos!W19)/Datos!W19),(Datos!M19-Datos!W19)/Datos!W19," - ")</f>
        <v>-2.7613412228796843E-2</v>
      </c>
      <c r="I19" s="362">
        <f>IF(ISNUMBER((Tasas!C19-Datos!BE19)/Datos!BE19),(Tasas!C19-Datos!BE19)/Datos!BE19," - ")</f>
        <v>3.7474053070818532E-2</v>
      </c>
      <c r="J19" s="363">
        <f>IF(ISNUMBER((Tasas!D19-Datos!BF19)/Datos!BF19),(Tasas!D19-Datos!BF19)/Datos!BF19," - ")</f>
        <v>3.2904920448912234E-3</v>
      </c>
      <c r="K19" s="364">
        <f>IF(ISNUMBER((Tasas!E19-Datos!BG19)/Datos!BG19),(Tasas!E19-Datos!BG19)/Datos!BG19," - ")</f>
        <v>1.7825394979464608E-2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0.1077818801394307</v>
      </c>
      <c r="E21" s="278">
        <f t="shared" si="1"/>
        <v>0.32042896485190797</v>
      </c>
      <c r="F21" s="278">
        <f t="shared" si="1"/>
        <v>3.5749594444399048E-2</v>
      </c>
      <c r="G21" s="279">
        <f t="shared" si="1"/>
        <v>0.17664649289104481</v>
      </c>
      <c r="H21" s="285">
        <f t="shared" si="1"/>
        <v>0.25497214222456954</v>
      </c>
      <c r="I21" s="277">
        <f t="shared" si="1"/>
        <v>0.16139589583200906</v>
      </c>
      <c r="J21" s="278">
        <f t="shared" si="1"/>
        <v>0.24598530413647407</v>
      </c>
      <c r="K21" s="279">
        <f t="shared" si="1"/>
        <v>8.6072266348507023E-2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ir5oIniMERY87M7AS3PdQir0XduQAUKIVBnEThv6XpJgnxlpX0WyqqSDDqpGUXqdwvqhB58ZBUU/WYsFiifHw==" saltValue="DjNEcgqrQNbCucZj7EO/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